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5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7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8.xml" ContentType="application/vnd.openxmlformats-officedocument.spreadsheetml.comments+xml"/>
  <Override PartName="/xl/drawings/drawing27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 - RASTS BUTANTÃ\Sites\Conteúdo Acesso a Informação\1. Atividades e Resultados - Planilha de Produção\2017\"/>
    </mc:Choice>
  </mc:AlternateContent>
  <xr:revisionPtr revIDLastSave="0" documentId="13_ncr:1_{0128D3E5-A76F-44BE-AB1A-A87AA7984524}" xr6:coauthVersionLast="43" xr6:coauthVersionMax="43" xr10:uidLastSave="{00000000-0000-0000-0000-000000000000}"/>
  <bookViews>
    <workbookView xWindow="-120" yWindow="-120" windowWidth="20640" windowHeight="11160" tabRatio="840" firstSheet="21" activeTab="26" xr2:uid="{00000000-000D-0000-FFFF-FFFF00000000}"/>
  </bookViews>
  <sheets>
    <sheet name="Qualidade" sheetId="27" state="hidden" r:id="rId1"/>
    <sheet name="UBS Vila Dalva 1° SEM" sheetId="19" r:id="rId2"/>
    <sheet name="UBS Vila Dalva 2º SEM" sheetId="43" r:id="rId3"/>
    <sheet name="UBS Jardim Boa Vista 1° SEM" sheetId="7" r:id="rId4"/>
    <sheet name="UBS Jardim Boa Vista 2º SEM" sheetId="46" r:id="rId5"/>
    <sheet name="UBS e NASF Jd D Abril 1° SEM" sheetId="2" r:id="rId6"/>
    <sheet name="UBS e NASF Jd D´Abril 2º SEM" sheetId="44" r:id="rId7"/>
    <sheet name="UBS Jd Jaqueline 1° SEM" sheetId="3" r:id="rId8"/>
    <sheet name="UBS Jardim Jaqueline 2º SEM" sheetId="47" r:id="rId9"/>
    <sheet name="UBS E NASF Malta Cardoso 1° SEM" sheetId="8" r:id="rId10"/>
    <sheet name="UBS E NASF Malta Cardoso 2º SEM" sheetId="45" r:id="rId11"/>
    <sheet name="UBS Real Parque 1° SEM" sheetId="25" r:id="rId12"/>
    <sheet name="UBS Real Parque 2º SEM" sheetId="48" r:id="rId13"/>
    <sheet name="UBS Sao Remo 1° SEM" sheetId="41" r:id="rId14"/>
    <sheet name="UBS Sao Remo 2º SEM" sheetId="49" r:id="rId15"/>
    <sheet name="AMA e UBS Vila Sonia 1° SEM" sheetId="6" r:id="rId16"/>
    <sheet name="AMA e UBS Vila Sonia 2º SEM" sheetId="50" r:id="rId17"/>
    <sheet name="AMA_ UBS e NASF Paulo VI 1° SEM" sheetId="4" r:id="rId18"/>
    <sheet name="AMA_ UBS e NASF Paulo VI 2º SEM" sheetId="51" r:id="rId19"/>
    <sheet name=" AMA e UBS Sao Jorge 1° SEM" sheetId="5" r:id="rId20"/>
    <sheet name=" AMA e UBS Sao Jorge 2º SEM" sheetId="52" r:id="rId21"/>
    <sheet name="PS BAND 1° SEM" sheetId="40" r:id="rId22"/>
    <sheet name="PS BAND 2º SEM" sheetId="53" r:id="rId23"/>
    <sheet name="PAI UBS Butantã 1° SEM" sheetId="9" r:id="rId24"/>
    <sheet name="PAI UBS Butantã 2º SEM" sheetId="54" r:id="rId25"/>
    <sheet name="HORA CERTA 1° SEM" sheetId="39" r:id="rId26"/>
    <sheet name="HORA CERTA 2º SEM" sheetId="55" r:id="rId27"/>
    <sheet name="Produção Geral" sheetId="42" state="hidden" r:id="rId28"/>
    <sheet name="Consolidado Profissionais" sheetId="34" state="hidden" r:id="rId29"/>
    <sheet name="Consolidado Consulta" sheetId="38" state="hidden" r:id="rId30"/>
    <sheet name="valor desconto qualidade" sheetId="36" state="hidden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55" l="1"/>
  <c r="C18" i="55" s="1"/>
  <c r="C23" i="55" s="1"/>
  <c r="D6" i="55"/>
  <c r="E6" i="55"/>
  <c r="E18" i="55" s="1"/>
  <c r="E23" i="55" s="1"/>
  <c r="F6" i="55"/>
  <c r="G6" i="55"/>
  <c r="G18" i="55" s="1"/>
  <c r="G23" i="55" s="1"/>
  <c r="H6" i="55"/>
  <c r="I6" i="55"/>
  <c r="I18" i="55" s="1"/>
  <c r="I23" i="55" s="1"/>
  <c r="J6" i="55"/>
  <c r="K6" i="55"/>
  <c r="K18" i="55" s="1"/>
  <c r="K23" i="55" s="1"/>
  <c r="L6" i="55"/>
  <c r="M6" i="55"/>
  <c r="M18" i="55" s="1"/>
  <c r="M23" i="55" s="1"/>
  <c r="N6" i="55"/>
  <c r="O6" i="55"/>
  <c r="O18" i="55" s="1"/>
  <c r="O23" i="55" s="1"/>
  <c r="P6" i="55"/>
  <c r="Q6" i="55"/>
  <c r="Q18" i="55" s="1"/>
  <c r="Q23" i="55" s="1"/>
  <c r="R6" i="55"/>
  <c r="D7" i="55"/>
  <c r="F7" i="55"/>
  <c r="H7" i="55"/>
  <c r="I7" i="55"/>
  <c r="J7" i="55"/>
  <c r="L7" i="55"/>
  <c r="N7" i="55"/>
  <c r="P7" i="55"/>
  <c r="Q7" i="55"/>
  <c r="R7" i="55" s="1"/>
  <c r="D8" i="55"/>
  <c r="F8" i="55"/>
  <c r="H8" i="55"/>
  <c r="I8" i="55"/>
  <c r="J8" i="55"/>
  <c r="L8" i="55"/>
  <c r="N8" i="55"/>
  <c r="P8" i="55"/>
  <c r="Q8" i="55"/>
  <c r="R8" i="55" s="1"/>
  <c r="D9" i="55"/>
  <c r="F9" i="55"/>
  <c r="H9" i="55"/>
  <c r="I9" i="55"/>
  <c r="J9" i="55"/>
  <c r="L9" i="55"/>
  <c r="N9" i="55"/>
  <c r="P9" i="55"/>
  <c r="Q9" i="55"/>
  <c r="R9" i="55" s="1"/>
  <c r="D10" i="55"/>
  <c r="F10" i="55"/>
  <c r="H10" i="55"/>
  <c r="I10" i="55"/>
  <c r="J10" i="55"/>
  <c r="L10" i="55"/>
  <c r="N10" i="55"/>
  <c r="P10" i="55"/>
  <c r="Q10" i="55"/>
  <c r="R10" i="55" s="1"/>
  <c r="D11" i="55"/>
  <c r="F11" i="55"/>
  <c r="H11" i="55"/>
  <c r="I11" i="55"/>
  <c r="J11" i="55"/>
  <c r="L11" i="55"/>
  <c r="N11" i="55"/>
  <c r="P11" i="55"/>
  <c r="Q11" i="55"/>
  <c r="R11" i="55" s="1"/>
  <c r="D12" i="55"/>
  <c r="F12" i="55"/>
  <c r="H12" i="55"/>
  <c r="I12" i="55"/>
  <c r="J12" i="55"/>
  <c r="L12" i="55"/>
  <c r="N12" i="55"/>
  <c r="P12" i="55"/>
  <c r="Q12" i="55"/>
  <c r="R12" i="55" s="1"/>
  <c r="D13" i="55"/>
  <c r="F13" i="55"/>
  <c r="H13" i="55"/>
  <c r="I13" i="55"/>
  <c r="J13" i="55"/>
  <c r="L13" i="55"/>
  <c r="N13" i="55"/>
  <c r="P13" i="55"/>
  <c r="Q13" i="55"/>
  <c r="R13" i="55" s="1"/>
  <c r="D14" i="55"/>
  <c r="F14" i="55"/>
  <c r="H14" i="55"/>
  <c r="I14" i="55"/>
  <c r="J14" i="55"/>
  <c r="L14" i="55"/>
  <c r="N14" i="55"/>
  <c r="P14" i="55"/>
  <c r="Q14" i="55"/>
  <c r="R14" i="55" s="1"/>
  <c r="B15" i="55"/>
  <c r="C15" i="55"/>
  <c r="D15" i="55"/>
  <c r="E15" i="55"/>
  <c r="F15" i="55"/>
  <c r="G15" i="55"/>
  <c r="H15" i="55"/>
  <c r="I15" i="55"/>
  <c r="J15" i="55"/>
  <c r="K15" i="55"/>
  <c r="L15" i="55"/>
  <c r="M15" i="55"/>
  <c r="N15" i="55"/>
  <c r="O15" i="55"/>
  <c r="P15" i="55"/>
  <c r="Q15" i="55"/>
  <c r="R15" i="55"/>
  <c r="D18" i="55"/>
  <c r="D23" i="55" s="1"/>
  <c r="F18" i="55"/>
  <c r="F23" i="55" s="1"/>
  <c r="H18" i="55"/>
  <c r="H23" i="55" s="1"/>
  <c r="J18" i="55"/>
  <c r="J23" i="55" s="1"/>
  <c r="L18" i="55"/>
  <c r="L23" i="55" s="1"/>
  <c r="N18" i="55"/>
  <c r="N23" i="55" s="1"/>
  <c r="P18" i="55"/>
  <c r="P23" i="55" s="1"/>
  <c r="R18" i="55"/>
  <c r="R23" i="55" s="1"/>
  <c r="D19" i="55"/>
  <c r="F19" i="55"/>
  <c r="H19" i="55"/>
  <c r="I19" i="55"/>
  <c r="J19" i="55" s="1"/>
  <c r="L19" i="55"/>
  <c r="N19" i="55"/>
  <c r="P19" i="55"/>
  <c r="Q19" i="55"/>
  <c r="R19" i="55"/>
  <c r="B20" i="55"/>
  <c r="C20" i="55"/>
  <c r="D20" i="55" s="1"/>
  <c r="E20" i="55"/>
  <c r="F20" i="55" s="1"/>
  <c r="G20" i="55"/>
  <c r="H20" i="55" s="1"/>
  <c r="I20" i="55"/>
  <c r="J20" i="55" s="1"/>
  <c r="K20" i="55"/>
  <c r="L20" i="55" s="1"/>
  <c r="M20" i="55"/>
  <c r="N20" i="55" s="1"/>
  <c r="O20" i="55"/>
  <c r="P20" i="55" s="1"/>
  <c r="Q20" i="55"/>
  <c r="R20" i="55" s="1"/>
  <c r="D24" i="55"/>
  <c r="F24" i="55"/>
  <c r="H24" i="55"/>
  <c r="I24" i="55"/>
  <c r="J24" i="55"/>
  <c r="L24" i="55"/>
  <c r="N24" i="55"/>
  <c r="P24" i="55"/>
  <c r="Q24" i="55"/>
  <c r="R24" i="55" s="1"/>
  <c r="D25" i="55"/>
  <c r="F25" i="55"/>
  <c r="H25" i="55"/>
  <c r="I25" i="55"/>
  <c r="J25" i="55"/>
  <c r="L25" i="55"/>
  <c r="N25" i="55"/>
  <c r="P25" i="55"/>
  <c r="Q25" i="55"/>
  <c r="R25" i="55" s="1"/>
  <c r="D26" i="55"/>
  <c r="F26" i="55"/>
  <c r="H26" i="55"/>
  <c r="I26" i="55"/>
  <c r="J26" i="55"/>
  <c r="L26" i="55"/>
  <c r="N26" i="55"/>
  <c r="P26" i="55"/>
  <c r="Q26" i="55"/>
  <c r="R26" i="55" s="1"/>
  <c r="D27" i="55"/>
  <c r="F27" i="55"/>
  <c r="H27" i="55"/>
  <c r="I27" i="55"/>
  <c r="J27" i="55"/>
  <c r="L27" i="55"/>
  <c r="N27" i="55"/>
  <c r="P27" i="55"/>
  <c r="Q27" i="55"/>
  <c r="R27" i="55" s="1"/>
  <c r="D28" i="55"/>
  <c r="F28" i="55"/>
  <c r="H28" i="55"/>
  <c r="I28" i="55"/>
  <c r="J28" i="55"/>
  <c r="L28" i="55"/>
  <c r="N28" i="55"/>
  <c r="P28" i="55"/>
  <c r="Q28" i="55"/>
  <c r="R28" i="55" s="1"/>
  <c r="D29" i="55"/>
  <c r="F29" i="55"/>
  <c r="H29" i="55"/>
  <c r="I29" i="55"/>
  <c r="J29" i="55"/>
  <c r="L29" i="55"/>
  <c r="N29" i="55"/>
  <c r="P29" i="55"/>
  <c r="Q29" i="55"/>
  <c r="R29" i="55" s="1"/>
  <c r="D30" i="55"/>
  <c r="F30" i="55"/>
  <c r="H30" i="55"/>
  <c r="I30" i="55"/>
  <c r="J30" i="55"/>
  <c r="L30" i="55"/>
  <c r="N30" i="55"/>
  <c r="P30" i="55"/>
  <c r="Q30" i="55"/>
  <c r="R30" i="55" s="1"/>
  <c r="D31" i="55"/>
  <c r="F31" i="55"/>
  <c r="H31" i="55"/>
  <c r="I31" i="55"/>
  <c r="J31" i="55"/>
  <c r="L31" i="55"/>
  <c r="N31" i="55"/>
  <c r="P31" i="55"/>
  <c r="Q31" i="55"/>
  <c r="R31" i="55" s="1"/>
  <c r="D32" i="55"/>
  <c r="F32" i="55"/>
  <c r="H32" i="55"/>
  <c r="I32" i="55"/>
  <c r="J32" i="55"/>
  <c r="L32" i="55"/>
  <c r="N32" i="55"/>
  <c r="P32" i="55"/>
  <c r="Q32" i="55"/>
  <c r="R32" i="55" s="1"/>
  <c r="D33" i="55"/>
  <c r="F33" i="55"/>
  <c r="H33" i="55"/>
  <c r="I33" i="55"/>
  <c r="J33" i="55"/>
  <c r="L33" i="55"/>
  <c r="N33" i="55"/>
  <c r="P33" i="55"/>
  <c r="Q33" i="55"/>
  <c r="R33" i="55" s="1"/>
  <c r="D34" i="55"/>
  <c r="F34" i="55"/>
  <c r="H34" i="55"/>
  <c r="I34" i="55"/>
  <c r="J34" i="55"/>
  <c r="L34" i="55"/>
  <c r="N34" i="55"/>
  <c r="P34" i="55"/>
  <c r="Q34" i="55"/>
  <c r="R34" i="55" s="1"/>
  <c r="B35" i="55"/>
  <c r="C35" i="55"/>
  <c r="D35" i="55"/>
  <c r="E35" i="55"/>
  <c r="F35" i="55"/>
  <c r="G35" i="55"/>
  <c r="H35" i="55"/>
  <c r="I35" i="55"/>
  <c r="J35" i="55"/>
  <c r="K35" i="55"/>
  <c r="L35" i="55"/>
  <c r="M35" i="55"/>
  <c r="N35" i="55"/>
  <c r="O35" i="55"/>
  <c r="P35" i="55"/>
  <c r="Q35" i="55"/>
  <c r="R35" i="55"/>
  <c r="A3" i="54"/>
  <c r="C6" i="54"/>
  <c r="D6" i="54"/>
  <c r="D15" i="54" s="1"/>
  <c r="E6" i="54"/>
  <c r="F6" i="54"/>
  <c r="F15" i="54" s="1"/>
  <c r="G6" i="54"/>
  <c r="H6" i="54"/>
  <c r="H15" i="54" s="1"/>
  <c r="I6" i="54"/>
  <c r="J6" i="54"/>
  <c r="J15" i="54" s="1"/>
  <c r="K6" i="54"/>
  <c r="L6" i="54"/>
  <c r="L15" i="54" s="1"/>
  <c r="M6" i="54"/>
  <c r="N6" i="54"/>
  <c r="N15" i="54" s="1"/>
  <c r="O6" i="54"/>
  <c r="P6" i="54"/>
  <c r="P15" i="54" s="1"/>
  <c r="Q6" i="54"/>
  <c r="R6" i="54"/>
  <c r="R15" i="54" s="1"/>
  <c r="D7" i="54"/>
  <c r="F7" i="54"/>
  <c r="H7" i="54"/>
  <c r="I7" i="54"/>
  <c r="J7" i="54" s="1"/>
  <c r="L7" i="54"/>
  <c r="N7" i="54"/>
  <c r="P7" i="54"/>
  <c r="Q7" i="54"/>
  <c r="R7" i="54"/>
  <c r="B12" i="54"/>
  <c r="C12" i="54"/>
  <c r="D12" i="54" s="1"/>
  <c r="E12" i="54"/>
  <c r="F12" i="54" s="1"/>
  <c r="G12" i="54"/>
  <c r="H12" i="54" s="1"/>
  <c r="I12" i="54"/>
  <c r="J12" i="54" s="1"/>
  <c r="K12" i="54"/>
  <c r="L12" i="54" s="1"/>
  <c r="M12" i="54"/>
  <c r="N12" i="54" s="1"/>
  <c r="O12" i="54"/>
  <c r="P12" i="54" s="1"/>
  <c r="Q12" i="54"/>
  <c r="R12" i="54" s="1"/>
  <c r="C15" i="54"/>
  <c r="E15" i="54"/>
  <c r="G15" i="54"/>
  <c r="I15" i="54"/>
  <c r="K15" i="54"/>
  <c r="M15" i="54"/>
  <c r="O15" i="54"/>
  <c r="Q15" i="54"/>
  <c r="D16" i="54"/>
  <c r="F16" i="54"/>
  <c r="H16" i="54"/>
  <c r="I16" i="54"/>
  <c r="J16" i="54"/>
  <c r="L16" i="54"/>
  <c r="N16" i="54"/>
  <c r="P16" i="54"/>
  <c r="Q16" i="54"/>
  <c r="R16" i="54" s="1"/>
  <c r="D17" i="54"/>
  <c r="F17" i="54"/>
  <c r="H17" i="54"/>
  <c r="I17" i="54"/>
  <c r="J17" i="54"/>
  <c r="L17" i="54"/>
  <c r="N17" i="54"/>
  <c r="P17" i="54"/>
  <c r="Q17" i="54"/>
  <c r="R17" i="54" s="1"/>
  <c r="D18" i="54"/>
  <c r="F18" i="54"/>
  <c r="H18" i="54"/>
  <c r="I18" i="54"/>
  <c r="J18" i="54"/>
  <c r="L18" i="54"/>
  <c r="N18" i="54"/>
  <c r="P18" i="54"/>
  <c r="Q18" i="54"/>
  <c r="R18" i="54" s="1"/>
  <c r="D19" i="54"/>
  <c r="F19" i="54"/>
  <c r="H19" i="54"/>
  <c r="I19" i="54"/>
  <c r="J19" i="54"/>
  <c r="L19" i="54"/>
  <c r="N19" i="54"/>
  <c r="P19" i="54"/>
  <c r="Q19" i="54"/>
  <c r="R19" i="54" s="1"/>
  <c r="D20" i="54"/>
  <c r="F20" i="54"/>
  <c r="H20" i="54"/>
  <c r="I20" i="54"/>
  <c r="J20" i="54"/>
  <c r="L20" i="54"/>
  <c r="N20" i="54"/>
  <c r="P20" i="54"/>
  <c r="Q20" i="54"/>
  <c r="R20" i="54" s="1"/>
  <c r="B21" i="54"/>
  <c r="C21" i="54"/>
  <c r="D21" i="54"/>
  <c r="E21" i="54"/>
  <c r="F21" i="54"/>
  <c r="G21" i="54"/>
  <c r="H21" i="54"/>
  <c r="I21" i="54"/>
  <c r="J21" i="54"/>
  <c r="K21" i="54"/>
  <c r="L21" i="54"/>
  <c r="M21" i="54"/>
  <c r="N21" i="54"/>
  <c r="O21" i="54"/>
  <c r="P21" i="54"/>
  <c r="Q21" i="54"/>
  <c r="R21" i="54"/>
  <c r="C6" i="53"/>
  <c r="D6" i="53"/>
  <c r="E6" i="53"/>
  <c r="F6" i="53"/>
  <c r="G6" i="53"/>
  <c r="H6" i="53"/>
  <c r="I6" i="53"/>
  <c r="J6" i="53"/>
  <c r="K6" i="53"/>
  <c r="L6" i="53"/>
  <c r="M6" i="53"/>
  <c r="N6" i="53"/>
  <c r="O6" i="53"/>
  <c r="P6" i="53"/>
  <c r="Q6" i="53"/>
  <c r="R6" i="53"/>
  <c r="I7" i="53"/>
  <c r="Q7" i="53"/>
  <c r="I8" i="53"/>
  <c r="Q8" i="53"/>
  <c r="I9" i="53"/>
  <c r="Q9" i="53"/>
  <c r="B10" i="53"/>
  <c r="C10" i="53"/>
  <c r="E10" i="53"/>
  <c r="G10" i="53"/>
  <c r="I10" i="53"/>
  <c r="K10" i="53"/>
  <c r="M10" i="53"/>
  <c r="O10" i="53"/>
  <c r="Q10" i="53"/>
  <c r="C13" i="53"/>
  <c r="D13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Q13" i="53"/>
  <c r="R13" i="53"/>
  <c r="D14" i="53"/>
  <c r="F14" i="53"/>
  <c r="H14" i="53"/>
  <c r="I14" i="53"/>
  <c r="J14" i="53" s="1"/>
  <c r="L14" i="53"/>
  <c r="N14" i="53"/>
  <c r="P14" i="53"/>
  <c r="Q14" i="53"/>
  <c r="R14" i="53"/>
  <c r="D15" i="53"/>
  <c r="F15" i="53"/>
  <c r="H15" i="53"/>
  <c r="I15" i="53"/>
  <c r="J15" i="53" s="1"/>
  <c r="L15" i="53"/>
  <c r="N15" i="53"/>
  <c r="P15" i="53"/>
  <c r="Q15" i="53"/>
  <c r="R15" i="53"/>
  <c r="D16" i="53"/>
  <c r="F16" i="53"/>
  <c r="H16" i="53"/>
  <c r="I16" i="53"/>
  <c r="J16" i="53" s="1"/>
  <c r="L16" i="53"/>
  <c r="N16" i="53"/>
  <c r="P16" i="53"/>
  <c r="D17" i="53"/>
  <c r="F17" i="53"/>
  <c r="H17" i="53"/>
  <c r="I17" i="53"/>
  <c r="J17" i="53" s="1"/>
  <c r="L17" i="53"/>
  <c r="N17" i="53"/>
  <c r="P17" i="53"/>
  <c r="Q17" i="53"/>
  <c r="R17" i="53"/>
  <c r="D18" i="53"/>
  <c r="F18" i="53"/>
  <c r="H18" i="53"/>
  <c r="I18" i="53"/>
  <c r="J18" i="53" s="1"/>
  <c r="L18" i="53"/>
  <c r="N18" i="53"/>
  <c r="P18" i="53"/>
  <c r="D19" i="53"/>
  <c r="F19" i="53"/>
  <c r="H19" i="53"/>
  <c r="I19" i="53"/>
  <c r="J19" i="53" s="1"/>
  <c r="L19" i="53"/>
  <c r="N19" i="53"/>
  <c r="P19" i="53"/>
  <c r="Q19" i="53"/>
  <c r="R19" i="53"/>
  <c r="D20" i="53"/>
  <c r="F20" i="53"/>
  <c r="H20" i="53"/>
  <c r="I20" i="53"/>
  <c r="J20" i="53" s="1"/>
  <c r="L20" i="53"/>
  <c r="N20" i="53"/>
  <c r="P20" i="53"/>
  <c r="Q20" i="53"/>
  <c r="R20" i="53"/>
  <c r="B21" i="53"/>
  <c r="C21" i="53"/>
  <c r="D21" i="53" s="1"/>
  <c r="E21" i="53"/>
  <c r="F21" i="53" s="1"/>
  <c r="G21" i="53"/>
  <c r="H21" i="53" s="1"/>
  <c r="I21" i="53"/>
  <c r="J21" i="53" s="1"/>
  <c r="K21" i="53"/>
  <c r="L21" i="53" s="1"/>
  <c r="M21" i="53"/>
  <c r="N21" i="53" s="1"/>
  <c r="O21" i="53"/>
  <c r="P21" i="53" s="1"/>
  <c r="Q21" i="53"/>
  <c r="R21" i="53" s="1"/>
  <c r="C6" i="52"/>
  <c r="D6" i="52"/>
  <c r="D22" i="52" s="1"/>
  <c r="D38" i="52" s="1"/>
  <c r="E6" i="52"/>
  <c r="F6" i="52"/>
  <c r="F22" i="52" s="1"/>
  <c r="F38" i="52" s="1"/>
  <c r="G6" i="52"/>
  <c r="H6" i="52"/>
  <c r="H22" i="52" s="1"/>
  <c r="H38" i="52" s="1"/>
  <c r="I6" i="52"/>
  <c r="J6" i="52"/>
  <c r="J22" i="52" s="1"/>
  <c r="J38" i="52" s="1"/>
  <c r="K6" i="52"/>
  <c r="L6" i="52"/>
  <c r="L22" i="52" s="1"/>
  <c r="L38" i="52" s="1"/>
  <c r="M6" i="52"/>
  <c r="N6" i="52"/>
  <c r="N22" i="52" s="1"/>
  <c r="N38" i="52" s="1"/>
  <c r="O6" i="52"/>
  <c r="P6" i="52"/>
  <c r="P22" i="52" s="1"/>
  <c r="P38" i="52" s="1"/>
  <c r="Q6" i="52"/>
  <c r="R6" i="52"/>
  <c r="R22" i="52" s="1"/>
  <c r="R38" i="52" s="1"/>
  <c r="D7" i="52"/>
  <c r="F7" i="52"/>
  <c r="H7" i="52"/>
  <c r="I7" i="52"/>
  <c r="J7" i="52" s="1"/>
  <c r="L7" i="52"/>
  <c r="N7" i="52"/>
  <c r="P7" i="52"/>
  <c r="Q7" i="52"/>
  <c r="R7" i="52"/>
  <c r="D8" i="52"/>
  <c r="F8" i="52"/>
  <c r="H8" i="52"/>
  <c r="I8" i="52"/>
  <c r="J8" i="52" s="1"/>
  <c r="L8" i="52"/>
  <c r="N8" i="52"/>
  <c r="P8" i="52"/>
  <c r="Q8" i="52"/>
  <c r="R8" i="52"/>
  <c r="D9" i="52"/>
  <c r="F9" i="52"/>
  <c r="H9" i="52"/>
  <c r="I9" i="52"/>
  <c r="J9" i="52" s="1"/>
  <c r="L9" i="52"/>
  <c r="N9" i="52"/>
  <c r="P9" i="52"/>
  <c r="Q9" i="52"/>
  <c r="R9" i="52"/>
  <c r="D10" i="52"/>
  <c r="F10" i="52"/>
  <c r="H10" i="52"/>
  <c r="I10" i="52"/>
  <c r="J10" i="52" s="1"/>
  <c r="L10" i="52"/>
  <c r="N10" i="52"/>
  <c r="P10" i="52"/>
  <c r="Q10" i="52"/>
  <c r="R10" i="52"/>
  <c r="D11" i="52"/>
  <c r="F11" i="52"/>
  <c r="H11" i="52"/>
  <c r="I11" i="52"/>
  <c r="J11" i="52" s="1"/>
  <c r="L11" i="52"/>
  <c r="N11" i="52"/>
  <c r="P11" i="52"/>
  <c r="Q11" i="52"/>
  <c r="R11" i="52"/>
  <c r="D12" i="52"/>
  <c r="F12" i="52"/>
  <c r="H12" i="52"/>
  <c r="I12" i="52"/>
  <c r="J12" i="52" s="1"/>
  <c r="L12" i="52"/>
  <c r="N12" i="52"/>
  <c r="P12" i="52"/>
  <c r="Q12" i="52"/>
  <c r="R12" i="52"/>
  <c r="D13" i="52"/>
  <c r="F13" i="52"/>
  <c r="H13" i="52"/>
  <c r="I13" i="52"/>
  <c r="J13" i="52" s="1"/>
  <c r="L13" i="52"/>
  <c r="N13" i="52"/>
  <c r="P13" i="52"/>
  <c r="Q13" i="52"/>
  <c r="R13" i="52"/>
  <c r="D14" i="52"/>
  <c r="F14" i="52"/>
  <c r="H14" i="52"/>
  <c r="I14" i="52"/>
  <c r="J14" i="52" s="1"/>
  <c r="L14" i="52"/>
  <c r="N14" i="52"/>
  <c r="P14" i="52"/>
  <c r="Q14" i="52"/>
  <c r="R14" i="52"/>
  <c r="D15" i="52"/>
  <c r="F15" i="52"/>
  <c r="H15" i="52"/>
  <c r="I15" i="52"/>
  <c r="J15" i="52" s="1"/>
  <c r="L15" i="52"/>
  <c r="N15" i="52"/>
  <c r="P15" i="52"/>
  <c r="Q15" i="52"/>
  <c r="R15" i="52"/>
  <c r="D16" i="52"/>
  <c r="F16" i="52"/>
  <c r="H16" i="52"/>
  <c r="I16" i="52"/>
  <c r="J16" i="52" s="1"/>
  <c r="L16" i="52"/>
  <c r="N16" i="52"/>
  <c r="P16" i="52"/>
  <c r="Q16" i="52"/>
  <c r="R16" i="52"/>
  <c r="D17" i="52"/>
  <c r="F17" i="52"/>
  <c r="H17" i="52"/>
  <c r="I17" i="52"/>
  <c r="J17" i="52" s="1"/>
  <c r="L17" i="52"/>
  <c r="N17" i="52"/>
  <c r="P17" i="52"/>
  <c r="Q17" i="52"/>
  <c r="R17" i="52"/>
  <c r="B18" i="52"/>
  <c r="C18" i="52"/>
  <c r="D18" i="52" s="1"/>
  <c r="E18" i="52"/>
  <c r="F18" i="52" s="1"/>
  <c r="G18" i="52"/>
  <c r="H18" i="52" s="1"/>
  <c r="I18" i="52"/>
  <c r="J18" i="52" s="1"/>
  <c r="K18" i="52"/>
  <c r="L18" i="52" s="1"/>
  <c r="M18" i="52"/>
  <c r="N18" i="52" s="1"/>
  <c r="O18" i="52"/>
  <c r="P18" i="52" s="1"/>
  <c r="Q18" i="52"/>
  <c r="R18" i="52" s="1"/>
  <c r="C22" i="52"/>
  <c r="C38" i="52" s="1"/>
  <c r="E22" i="52"/>
  <c r="E38" i="52" s="1"/>
  <c r="G22" i="52"/>
  <c r="G38" i="52" s="1"/>
  <c r="I22" i="52"/>
  <c r="I38" i="52" s="1"/>
  <c r="K22" i="52"/>
  <c r="K38" i="52" s="1"/>
  <c r="M22" i="52"/>
  <c r="M38" i="52" s="1"/>
  <c r="O22" i="52"/>
  <c r="O38" i="52" s="1"/>
  <c r="Q22" i="52"/>
  <c r="Q38" i="52" s="1"/>
  <c r="D23" i="52"/>
  <c r="F23" i="52"/>
  <c r="H23" i="52"/>
  <c r="I23" i="52"/>
  <c r="J23" i="52"/>
  <c r="L23" i="52"/>
  <c r="N23" i="52"/>
  <c r="P23" i="52"/>
  <c r="Q23" i="52"/>
  <c r="R23" i="52" s="1"/>
  <c r="D24" i="52"/>
  <c r="F24" i="52"/>
  <c r="H24" i="52"/>
  <c r="I24" i="52"/>
  <c r="J24" i="52"/>
  <c r="L24" i="52"/>
  <c r="N24" i="52"/>
  <c r="P24" i="52"/>
  <c r="Q24" i="52"/>
  <c r="R24" i="52" s="1"/>
  <c r="D25" i="52"/>
  <c r="F25" i="52"/>
  <c r="H25" i="52"/>
  <c r="I25" i="52"/>
  <c r="J25" i="52"/>
  <c r="L25" i="52"/>
  <c r="N25" i="52"/>
  <c r="P25" i="52"/>
  <c r="Q25" i="52"/>
  <c r="R25" i="52" s="1"/>
  <c r="D26" i="52"/>
  <c r="F26" i="52"/>
  <c r="H26" i="52"/>
  <c r="I26" i="52"/>
  <c r="J26" i="52"/>
  <c r="L26" i="52"/>
  <c r="N26" i="52"/>
  <c r="P26" i="52"/>
  <c r="Q26" i="52"/>
  <c r="R26" i="52" s="1"/>
  <c r="D27" i="52"/>
  <c r="F27" i="52"/>
  <c r="H27" i="52"/>
  <c r="I27" i="52"/>
  <c r="J27" i="52"/>
  <c r="L27" i="52"/>
  <c r="N27" i="52"/>
  <c r="P27" i="52"/>
  <c r="Q27" i="52"/>
  <c r="R27" i="52" s="1"/>
  <c r="D28" i="52"/>
  <c r="F28" i="52"/>
  <c r="H28" i="52"/>
  <c r="I28" i="52"/>
  <c r="J28" i="52"/>
  <c r="L28" i="52"/>
  <c r="N28" i="52"/>
  <c r="P28" i="52"/>
  <c r="Q28" i="52"/>
  <c r="R28" i="52" s="1"/>
  <c r="D29" i="52"/>
  <c r="F29" i="52"/>
  <c r="H29" i="52"/>
  <c r="I29" i="52"/>
  <c r="J29" i="52"/>
  <c r="L29" i="52"/>
  <c r="N29" i="52"/>
  <c r="P29" i="52"/>
  <c r="Q29" i="52"/>
  <c r="R29" i="52" s="1"/>
  <c r="D30" i="52"/>
  <c r="F30" i="52"/>
  <c r="H30" i="52"/>
  <c r="I30" i="52"/>
  <c r="J30" i="52"/>
  <c r="L30" i="52"/>
  <c r="N30" i="52"/>
  <c r="P30" i="52"/>
  <c r="Q30" i="52"/>
  <c r="R30" i="52" s="1"/>
  <c r="D31" i="52"/>
  <c r="F31" i="52"/>
  <c r="H31" i="52"/>
  <c r="I31" i="52"/>
  <c r="J31" i="52"/>
  <c r="L31" i="52"/>
  <c r="N31" i="52"/>
  <c r="P31" i="52"/>
  <c r="Q31" i="52"/>
  <c r="R31" i="52" s="1"/>
  <c r="D32" i="52"/>
  <c r="F32" i="52"/>
  <c r="H32" i="52"/>
  <c r="I32" i="52"/>
  <c r="J32" i="52"/>
  <c r="L32" i="52"/>
  <c r="N32" i="52"/>
  <c r="P32" i="52"/>
  <c r="Q32" i="52"/>
  <c r="R32" i="52" s="1"/>
  <c r="D33" i="52"/>
  <c r="F33" i="52"/>
  <c r="H33" i="52"/>
  <c r="I33" i="52"/>
  <c r="J33" i="52"/>
  <c r="L33" i="52"/>
  <c r="N33" i="52"/>
  <c r="P33" i="52"/>
  <c r="Q33" i="52"/>
  <c r="R33" i="52" s="1"/>
  <c r="B34" i="52"/>
  <c r="C34" i="52"/>
  <c r="D34" i="52"/>
  <c r="E34" i="52"/>
  <c r="F34" i="52"/>
  <c r="G34" i="52"/>
  <c r="H34" i="52"/>
  <c r="I34" i="52"/>
  <c r="J34" i="52"/>
  <c r="K34" i="52"/>
  <c r="L34" i="52"/>
  <c r="M34" i="52"/>
  <c r="N34" i="52"/>
  <c r="O34" i="52"/>
  <c r="P34" i="52"/>
  <c r="Q34" i="52"/>
  <c r="R34" i="52"/>
  <c r="D39" i="52"/>
  <c r="F39" i="52"/>
  <c r="H39" i="52"/>
  <c r="I39" i="52"/>
  <c r="J39" i="52" s="1"/>
  <c r="L39" i="52"/>
  <c r="N39" i="52"/>
  <c r="P39" i="52"/>
  <c r="Q39" i="52"/>
  <c r="R39" i="52"/>
  <c r="D40" i="52"/>
  <c r="F40" i="52"/>
  <c r="H40" i="52"/>
  <c r="I40" i="52"/>
  <c r="J40" i="52" s="1"/>
  <c r="L40" i="52"/>
  <c r="N40" i="52"/>
  <c r="P40" i="52"/>
  <c r="Q40" i="52"/>
  <c r="R40" i="52"/>
  <c r="B41" i="52"/>
  <c r="C41" i="52"/>
  <c r="D41" i="52" s="1"/>
  <c r="E41" i="52"/>
  <c r="F41" i="52" s="1"/>
  <c r="G41" i="52"/>
  <c r="H41" i="52" s="1"/>
  <c r="I41" i="52"/>
  <c r="J41" i="52" s="1"/>
  <c r="K41" i="52"/>
  <c r="L41" i="52" s="1"/>
  <c r="M41" i="52"/>
  <c r="N41" i="52" s="1"/>
  <c r="O41" i="52"/>
  <c r="P41" i="52" s="1"/>
  <c r="Q41" i="52"/>
  <c r="R41" i="52" s="1"/>
  <c r="C6" i="51"/>
  <c r="D6" i="51"/>
  <c r="D18" i="51" s="1"/>
  <c r="E6" i="51"/>
  <c r="F6" i="51"/>
  <c r="F18" i="51" s="1"/>
  <c r="G6" i="51"/>
  <c r="H6" i="51"/>
  <c r="H18" i="51" s="1"/>
  <c r="I6" i="51"/>
  <c r="J6" i="51"/>
  <c r="J18" i="51" s="1"/>
  <c r="K6" i="51"/>
  <c r="L6" i="51"/>
  <c r="L18" i="51" s="1"/>
  <c r="M6" i="51"/>
  <c r="N6" i="51"/>
  <c r="N18" i="51" s="1"/>
  <c r="O6" i="51"/>
  <c r="P6" i="51"/>
  <c r="P18" i="51" s="1"/>
  <c r="Q6" i="51"/>
  <c r="R6" i="51"/>
  <c r="R18" i="51" s="1"/>
  <c r="D7" i="51"/>
  <c r="F7" i="51"/>
  <c r="H7" i="51"/>
  <c r="I7" i="51"/>
  <c r="J7" i="51" s="1"/>
  <c r="L7" i="51"/>
  <c r="N7" i="51"/>
  <c r="P7" i="51"/>
  <c r="Q7" i="51"/>
  <c r="R7" i="51"/>
  <c r="D8" i="51"/>
  <c r="F8" i="51"/>
  <c r="H8" i="51"/>
  <c r="I8" i="51"/>
  <c r="J8" i="51" s="1"/>
  <c r="L8" i="51"/>
  <c r="N8" i="51"/>
  <c r="P8" i="51"/>
  <c r="Q8" i="51"/>
  <c r="R8" i="51"/>
  <c r="D9" i="51"/>
  <c r="F9" i="51"/>
  <c r="H9" i="51"/>
  <c r="I9" i="51"/>
  <c r="J9" i="51" s="1"/>
  <c r="L9" i="51"/>
  <c r="N9" i="51"/>
  <c r="P9" i="51"/>
  <c r="Q9" i="51"/>
  <c r="R9" i="51"/>
  <c r="D10" i="51"/>
  <c r="F10" i="51"/>
  <c r="H10" i="51"/>
  <c r="I10" i="51"/>
  <c r="J10" i="51" s="1"/>
  <c r="L10" i="51"/>
  <c r="N10" i="51"/>
  <c r="P10" i="51"/>
  <c r="Q10" i="51"/>
  <c r="R10" i="51"/>
  <c r="D11" i="51"/>
  <c r="F11" i="51"/>
  <c r="H11" i="51"/>
  <c r="I11" i="51"/>
  <c r="J11" i="51" s="1"/>
  <c r="L11" i="51"/>
  <c r="N11" i="51"/>
  <c r="P11" i="51"/>
  <c r="Q11" i="51"/>
  <c r="R11" i="51"/>
  <c r="D12" i="51"/>
  <c r="F12" i="51"/>
  <c r="H12" i="51"/>
  <c r="I12" i="51"/>
  <c r="J12" i="51" s="1"/>
  <c r="L12" i="51"/>
  <c r="N12" i="51"/>
  <c r="P12" i="51"/>
  <c r="Q12" i="51"/>
  <c r="R12" i="51"/>
  <c r="D13" i="51"/>
  <c r="F13" i="51"/>
  <c r="H13" i="51"/>
  <c r="I13" i="51"/>
  <c r="J13" i="51" s="1"/>
  <c r="L13" i="51"/>
  <c r="N13" i="51"/>
  <c r="P13" i="51"/>
  <c r="Q13" i="51"/>
  <c r="R13" i="51"/>
  <c r="D14" i="51"/>
  <c r="F14" i="51"/>
  <c r="H14" i="51"/>
  <c r="I14" i="51"/>
  <c r="J14" i="51" s="1"/>
  <c r="L14" i="51"/>
  <c r="N14" i="51"/>
  <c r="P14" i="51"/>
  <c r="Q14" i="51"/>
  <c r="R14" i="51"/>
  <c r="B15" i="51"/>
  <c r="C15" i="51"/>
  <c r="D15" i="51" s="1"/>
  <c r="E15" i="51"/>
  <c r="F15" i="51" s="1"/>
  <c r="G15" i="51"/>
  <c r="H15" i="51" s="1"/>
  <c r="I15" i="51"/>
  <c r="J15" i="51" s="1"/>
  <c r="K15" i="51"/>
  <c r="L15" i="51" s="1"/>
  <c r="M15" i="51"/>
  <c r="N15" i="51" s="1"/>
  <c r="O15" i="51"/>
  <c r="P15" i="51" s="1"/>
  <c r="Q15" i="51"/>
  <c r="R15" i="51" s="1"/>
  <c r="C18" i="51"/>
  <c r="E18" i="51"/>
  <c r="G18" i="51"/>
  <c r="I18" i="51"/>
  <c r="K18" i="51"/>
  <c r="M18" i="51"/>
  <c r="O18" i="51"/>
  <c r="Q18" i="51"/>
  <c r="D19" i="51"/>
  <c r="F19" i="51"/>
  <c r="H19" i="51"/>
  <c r="I19" i="51"/>
  <c r="J19" i="51"/>
  <c r="L19" i="51"/>
  <c r="N19" i="51"/>
  <c r="P19" i="51"/>
  <c r="Q19" i="51"/>
  <c r="R19" i="51" s="1"/>
  <c r="D20" i="51"/>
  <c r="F20" i="51"/>
  <c r="H20" i="51"/>
  <c r="I20" i="51"/>
  <c r="J20" i="51"/>
  <c r="L20" i="51"/>
  <c r="N20" i="51"/>
  <c r="P20" i="51"/>
  <c r="Q20" i="51"/>
  <c r="R20" i="51" s="1"/>
  <c r="D21" i="51"/>
  <c r="F21" i="51"/>
  <c r="H21" i="51"/>
  <c r="I21" i="51"/>
  <c r="J21" i="51"/>
  <c r="L21" i="51"/>
  <c r="N21" i="51"/>
  <c r="P21" i="51"/>
  <c r="Q21" i="51"/>
  <c r="R21" i="51" s="1"/>
  <c r="D22" i="51"/>
  <c r="F22" i="51"/>
  <c r="H22" i="51"/>
  <c r="I22" i="51"/>
  <c r="J22" i="51"/>
  <c r="L22" i="51"/>
  <c r="N22" i="51"/>
  <c r="P22" i="51"/>
  <c r="Q22" i="51"/>
  <c r="R22" i="51" s="1"/>
  <c r="D23" i="51"/>
  <c r="F23" i="51"/>
  <c r="H23" i="51"/>
  <c r="I23" i="51"/>
  <c r="J23" i="51"/>
  <c r="L23" i="51"/>
  <c r="N23" i="51"/>
  <c r="P23" i="51"/>
  <c r="Q23" i="51"/>
  <c r="R23" i="51" s="1"/>
  <c r="D24" i="51"/>
  <c r="F24" i="51"/>
  <c r="H24" i="51"/>
  <c r="I24" i="51"/>
  <c r="J24" i="51"/>
  <c r="L24" i="51"/>
  <c r="N24" i="51"/>
  <c r="P24" i="51"/>
  <c r="Q24" i="51"/>
  <c r="R24" i="51" s="1"/>
  <c r="D25" i="51"/>
  <c r="F25" i="51"/>
  <c r="H25" i="51"/>
  <c r="I25" i="51"/>
  <c r="J25" i="51"/>
  <c r="L25" i="51"/>
  <c r="N25" i="51"/>
  <c r="P25" i="51"/>
  <c r="Q25" i="51"/>
  <c r="R25" i="51" s="1"/>
  <c r="D26" i="51"/>
  <c r="F26" i="51"/>
  <c r="H26" i="51"/>
  <c r="I26" i="51"/>
  <c r="J26" i="51"/>
  <c r="L26" i="51"/>
  <c r="N26" i="51"/>
  <c r="P26" i="51"/>
  <c r="Q26" i="51"/>
  <c r="R26" i="51" s="1"/>
  <c r="D27" i="51"/>
  <c r="F27" i="51"/>
  <c r="H27" i="51"/>
  <c r="I27" i="51"/>
  <c r="J27" i="51"/>
  <c r="L27" i="51"/>
  <c r="N27" i="51"/>
  <c r="P27" i="51"/>
  <c r="Q27" i="51"/>
  <c r="R27" i="51" s="1"/>
  <c r="B28" i="51"/>
  <c r="C28" i="51"/>
  <c r="D28" i="51"/>
  <c r="E28" i="51"/>
  <c r="F28" i="51"/>
  <c r="G28" i="51"/>
  <c r="H28" i="51"/>
  <c r="I28" i="51"/>
  <c r="J28" i="51"/>
  <c r="K28" i="51"/>
  <c r="L28" i="51"/>
  <c r="M28" i="51"/>
  <c r="N28" i="51"/>
  <c r="O28" i="51"/>
  <c r="P28" i="51"/>
  <c r="Q28" i="51"/>
  <c r="R28" i="51"/>
  <c r="C31" i="51"/>
  <c r="D31" i="51"/>
  <c r="E31" i="51"/>
  <c r="F31" i="51"/>
  <c r="G31" i="51"/>
  <c r="H31" i="51"/>
  <c r="I31" i="51"/>
  <c r="J31" i="51"/>
  <c r="K31" i="51"/>
  <c r="L31" i="51"/>
  <c r="M31" i="51"/>
  <c r="N31" i="51"/>
  <c r="O31" i="51"/>
  <c r="P31" i="51"/>
  <c r="Q31" i="51"/>
  <c r="R31" i="51"/>
  <c r="D32" i="51"/>
  <c r="F32" i="51"/>
  <c r="H32" i="51"/>
  <c r="I32" i="51"/>
  <c r="J32" i="51" s="1"/>
  <c r="L32" i="51"/>
  <c r="N32" i="51"/>
  <c r="P32" i="51"/>
  <c r="Q32" i="51"/>
  <c r="R32" i="51"/>
  <c r="D33" i="51"/>
  <c r="F33" i="51"/>
  <c r="H33" i="51"/>
  <c r="I33" i="51"/>
  <c r="J33" i="51" s="1"/>
  <c r="L33" i="51"/>
  <c r="N33" i="51"/>
  <c r="P33" i="51"/>
  <c r="Q33" i="51"/>
  <c r="R33" i="51"/>
  <c r="D34" i="51"/>
  <c r="F34" i="51"/>
  <c r="H34" i="51"/>
  <c r="I34" i="51"/>
  <c r="J34" i="51" s="1"/>
  <c r="L34" i="51"/>
  <c r="N34" i="51"/>
  <c r="P34" i="51"/>
  <c r="Q34" i="51"/>
  <c r="R34" i="51"/>
  <c r="D35" i="51"/>
  <c r="F35" i="51"/>
  <c r="H35" i="51"/>
  <c r="I35" i="51"/>
  <c r="J35" i="51" s="1"/>
  <c r="L35" i="51"/>
  <c r="N35" i="51"/>
  <c r="P35" i="51"/>
  <c r="Q35" i="51"/>
  <c r="R35" i="51"/>
  <c r="D36" i="51"/>
  <c r="F36" i="51"/>
  <c r="H36" i="51"/>
  <c r="I36" i="51"/>
  <c r="J36" i="51" s="1"/>
  <c r="L36" i="51"/>
  <c r="N36" i="51"/>
  <c r="P36" i="51"/>
  <c r="Q36" i="51"/>
  <c r="R36" i="51"/>
  <c r="D37" i="51"/>
  <c r="F37" i="51"/>
  <c r="H37" i="51"/>
  <c r="I37" i="51"/>
  <c r="J37" i="51" s="1"/>
  <c r="L37" i="51"/>
  <c r="N37" i="51"/>
  <c r="P37" i="51"/>
  <c r="Q37" i="51"/>
  <c r="R37" i="51"/>
  <c r="D38" i="51"/>
  <c r="F38" i="51"/>
  <c r="H38" i="51"/>
  <c r="I38" i="51"/>
  <c r="J38" i="51" s="1"/>
  <c r="L38" i="51"/>
  <c r="N38" i="51"/>
  <c r="P38" i="51"/>
  <c r="Q38" i="51"/>
  <c r="R38" i="51"/>
  <c r="B39" i="51"/>
  <c r="C39" i="51"/>
  <c r="D39" i="51" s="1"/>
  <c r="E39" i="51"/>
  <c r="F39" i="51" s="1"/>
  <c r="G39" i="51"/>
  <c r="H39" i="51" s="1"/>
  <c r="I39" i="51"/>
  <c r="J39" i="51" s="1"/>
  <c r="K39" i="51"/>
  <c r="L39" i="51" s="1"/>
  <c r="M39" i="51"/>
  <c r="N39" i="51" s="1"/>
  <c r="O39" i="51"/>
  <c r="P39" i="51" s="1"/>
  <c r="Q39" i="51"/>
  <c r="R39" i="51" s="1"/>
  <c r="C42" i="51"/>
  <c r="E42" i="51"/>
  <c r="G42" i="51"/>
  <c r="I42" i="51"/>
  <c r="K42" i="51"/>
  <c r="M42" i="51"/>
  <c r="O42" i="51"/>
  <c r="Q42" i="51"/>
  <c r="D43" i="51"/>
  <c r="F43" i="51"/>
  <c r="H43" i="51"/>
  <c r="I43" i="51"/>
  <c r="J43" i="51"/>
  <c r="L43" i="51"/>
  <c r="N43" i="51"/>
  <c r="P43" i="51"/>
  <c r="Q43" i="51"/>
  <c r="R43" i="51" s="1"/>
  <c r="D44" i="51"/>
  <c r="F44" i="51"/>
  <c r="H44" i="51"/>
  <c r="I44" i="51"/>
  <c r="J44" i="51"/>
  <c r="L44" i="51"/>
  <c r="N44" i="51"/>
  <c r="P44" i="51"/>
  <c r="Q44" i="51"/>
  <c r="R44" i="51" s="1"/>
  <c r="B45" i="51"/>
  <c r="C45" i="51"/>
  <c r="D45" i="51"/>
  <c r="E45" i="51"/>
  <c r="F45" i="51"/>
  <c r="G45" i="51"/>
  <c r="H45" i="51"/>
  <c r="I45" i="51"/>
  <c r="J45" i="51"/>
  <c r="K45" i="51"/>
  <c r="L45" i="51"/>
  <c r="M45" i="51"/>
  <c r="N45" i="51"/>
  <c r="O45" i="51"/>
  <c r="P45" i="51"/>
  <c r="Q45" i="51"/>
  <c r="R45" i="51"/>
  <c r="D6" i="50"/>
  <c r="F6" i="50"/>
  <c r="H6" i="50"/>
  <c r="I6" i="50"/>
  <c r="J6" i="50"/>
  <c r="L6" i="50"/>
  <c r="N6" i="50"/>
  <c r="P6" i="50"/>
  <c r="Q6" i="50"/>
  <c r="R6" i="50"/>
  <c r="D7" i="50"/>
  <c r="F7" i="50"/>
  <c r="H7" i="50"/>
  <c r="I7" i="50"/>
  <c r="J7" i="50" s="1"/>
  <c r="L7" i="50"/>
  <c r="N7" i="50"/>
  <c r="P7" i="50"/>
  <c r="Q7" i="50"/>
  <c r="R7" i="50"/>
  <c r="D8" i="50"/>
  <c r="F8" i="50"/>
  <c r="H8" i="50"/>
  <c r="I8" i="50"/>
  <c r="J8" i="50" s="1"/>
  <c r="L8" i="50"/>
  <c r="N8" i="50"/>
  <c r="P8" i="50"/>
  <c r="Q8" i="50"/>
  <c r="R8" i="50" s="1"/>
  <c r="D9" i="50"/>
  <c r="F9" i="50"/>
  <c r="H9" i="50"/>
  <c r="I9" i="50"/>
  <c r="J9" i="50" s="1"/>
  <c r="L9" i="50"/>
  <c r="N9" i="50"/>
  <c r="P9" i="50"/>
  <c r="Q9" i="50"/>
  <c r="R9" i="50"/>
  <c r="D10" i="50"/>
  <c r="F10" i="50"/>
  <c r="H10" i="50"/>
  <c r="I10" i="50"/>
  <c r="J10" i="50" s="1"/>
  <c r="L10" i="50"/>
  <c r="N10" i="50"/>
  <c r="P10" i="50"/>
  <c r="Q10" i="50"/>
  <c r="R10" i="50"/>
  <c r="D11" i="50"/>
  <c r="F11" i="50"/>
  <c r="H11" i="50"/>
  <c r="I11" i="50"/>
  <c r="J11" i="50" s="1"/>
  <c r="L11" i="50"/>
  <c r="N11" i="50"/>
  <c r="P11" i="50"/>
  <c r="Q11" i="50"/>
  <c r="R11" i="50"/>
  <c r="D12" i="50"/>
  <c r="F12" i="50"/>
  <c r="H12" i="50"/>
  <c r="I12" i="50"/>
  <c r="J12" i="50" s="1"/>
  <c r="L12" i="50"/>
  <c r="N12" i="50"/>
  <c r="P12" i="50"/>
  <c r="Q12" i="50"/>
  <c r="R12" i="50"/>
  <c r="B13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P13" i="50" s="1"/>
  <c r="Q13" i="50"/>
  <c r="R13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D18" i="50"/>
  <c r="F18" i="50"/>
  <c r="H18" i="50"/>
  <c r="I18" i="50"/>
  <c r="J18" i="50"/>
  <c r="L18" i="50"/>
  <c r="N18" i="50"/>
  <c r="P18" i="50"/>
  <c r="Q18" i="50"/>
  <c r="R18" i="50" s="1"/>
  <c r="D19" i="50"/>
  <c r="F19" i="50"/>
  <c r="H19" i="50"/>
  <c r="I19" i="50"/>
  <c r="J19" i="50"/>
  <c r="L19" i="50"/>
  <c r="N19" i="50"/>
  <c r="P19" i="50"/>
  <c r="Q19" i="50"/>
  <c r="R19" i="50" s="1"/>
  <c r="D20" i="50"/>
  <c r="F20" i="50"/>
  <c r="H20" i="50"/>
  <c r="I20" i="50"/>
  <c r="J20" i="50"/>
  <c r="L20" i="50"/>
  <c r="N20" i="50"/>
  <c r="P20" i="50"/>
  <c r="Q20" i="50"/>
  <c r="R20" i="50" s="1"/>
  <c r="D21" i="50"/>
  <c r="F21" i="50"/>
  <c r="H21" i="50"/>
  <c r="I21" i="50"/>
  <c r="J21" i="50"/>
  <c r="L21" i="50"/>
  <c r="N21" i="50"/>
  <c r="P21" i="50"/>
  <c r="Q21" i="50"/>
  <c r="R21" i="50" s="1"/>
  <c r="D22" i="50"/>
  <c r="F22" i="50"/>
  <c r="H22" i="50"/>
  <c r="I22" i="50"/>
  <c r="J22" i="50"/>
  <c r="L22" i="50"/>
  <c r="N22" i="50"/>
  <c r="P22" i="50"/>
  <c r="Q22" i="50"/>
  <c r="R22" i="50" s="1"/>
  <c r="D23" i="50"/>
  <c r="F23" i="50"/>
  <c r="H23" i="50"/>
  <c r="I23" i="50"/>
  <c r="J23" i="50"/>
  <c r="L23" i="50"/>
  <c r="N23" i="50"/>
  <c r="P23" i="50"/>
  <c r="Q23" i="50"/>
  <c r="R23" i="50" s="1"/>
  <c r="D24" i="50"/>
  <c r="F24" i="50"/>
  <c r="H24" i="50"/>
  <c r="I24" i="50"/>
  <c r="J24" i="50"/>
  <c r="L24" i="50"/>
  <c r="N24" i="50"/>
  <c r="P24" i="50"/>
  <c r="Q24" i="50"/>
  <c r="R24" i="50" s="1"/>
  <c r="D25" i="50"/>
  <c r="F25" i="50"/>
  <c r="H25" i="50"/>
  <c r="I25" i="50"/>
  <c r="J25" i="50"/>
  <c r="L25" i="50"/>
  <c r="N25" i="50"/>
  <c r="P25" i="50"/>
  <c r="Q25" i="50"/>
  <c r="R25" i="50" s="1"/>
  <c r="D26" i="50"/>
  <c r="F26" i="50"/>
  <c r="H26" i="50"/>
  <c r="I26" i="50"/>
  <c r="J26" i="50"/>
  <c r="L26" i="50"/>
  <c r="N26" i="50"/>
  <c r="P26" i="50"/>
  <c r="Q26" i="50"/>
  <c r="R26" i="50" s="1"/>
  <c r="D27" i="50"/>
  <c r="F27" i="50"/>
  <c r="H27" i="50"/>
  <c r="I27" i="50"/>
  <c r="J27" i="50"/>
  <c r="L27" i="50"/>
  <c r="N27" i="50"/>
  <c r="P27" i="50"/>
  <c r="Q27" i="50"/>
  <c r="R27" i="50" s="1"/>
  <c r="D28" i="50"/>
  <c r="F28" i="50"/>
  <c r="H28" i="50"/>
  <c r="I28" i="50"/>
  <c r="J28" i="50"/>
  <c r="L28" i="50"/>
  <c r="N28" i="50"/>
  <c r="P28" i="50"/>
  <c r="Q28" i="50"/>
  <c r="R28" i="50" s="1"/>
  <c r="B29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P29" i="50"/>
  <c r="Q29" i="50"/>
  <c r="R29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O32" i="50"/>
  <c r="P32" i="50"/>
  <c r="Q32" i="50"/>
  <c r="R32" i="50"/>
  <c r="D33" i="50"/>
  <c r="F33" i="50"/>
  <c r="H33" i="50"/>
  <c r="I33" i="50"/>
  <c r="J33" i="50" s="1"/>
  <c r="L33" i="50"/>
  <c r="N33" i="50"/>
  <c r="P33" i="50"/>
  <c r="Q33" i="50"/>
  <c r="R33" i="50" s="1"/>
  <c r="D34" i="50"/>
  <c r="F34" i="50"/>
  <c r="H34" i="50"/>
  <c r="I34" i="50"/>
  <c r="J34" i="50"/>
  <c r="L34" i="50"/>
  <c r="N34" i="50"/>
  <c r="P34" i="50"/>
  <c r="Q34" i="50"/>
  <c r="R34" i="50" s="1"/>
  <c r="B35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P35" i="50"/>
  <c r="Q35" i="50"/>
  <c r="R35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O38" i="50"/>
  <c r="P38" i="50"/>
  <c r="Q38" i="50"/>
  <c r="R38" i="50"/>
  <c r="D39" i="50"/>
  <c r="F39" i="50"/>
  <c r="H39" i="50"/>
  <c r="I39" i="50"/>
  <c r="J39" i="50" s="1"/>
  <c r="L39" i="50"/>
  <c r="N39" i="50"/>
  <c r="P39" i="50"/>
  <c r="Q39" i="50"/>
  <c r="R39" i="50"/>
  <c r="D40" i="50"/>
  <c r="F40" i="50"/>
  <c r="H40" i="50"/>
  <c r="I40" i="50"/>
  <c r="J40" i="50" s="1"/>
  <c r="L40" i="50"/>
  <c r="N40" i="50"/>
  <c r="P40" i="50"/>
  <c r="Q40" i="50"/>
  <c r="R40" i="50"/>
  <c r="B41" i="50"/>
  <c r="C41" i="50"/>
  <c r="D41" i="50" s="1"/>
  <c r="E41" i="50"/>
  <c r="F41" i="50" s="1"/>
  <c r="G41" i="50"/>
  <c r="H41" i="50" s="1"/>
  <c r="I41" i="50"/>
  <c r="J41" i="50" s="1"/>
  <c r="K41" i="50"/>
  <c r="L41" i="50" s="1"/>
  <c r="M41" i="50"/>
  <c r="N41" i="50" s="1"/>
  <c r="O41" i="50"/>
  <c r="P41" i="50" s="1"/>
  <c r="Q41" i="50"/>
  <c r="R41" i="50" s="1"/>
  <c r="A2" i="49"/>
  <c r="A3" i="49"/>
  <c r="C6" i="49"/>
  <c r="D6" i="49"/>
  <c r="E6" i="49"/>
  <c r="F6" i="49"/>
  <c r="G6" i="49"/>
  <c r="H6" i="49"/>
  <c r="I6" i="49"/>
  <c r="J6" i="49"/>
  <c r="K6" i="49"/>
  <c r="L6" i="49"/>
  <c r="M6" i="49"/>
  <c r="N6" i="49"/>
  <c r="O6" i="49"/>
  <c r="P6" i="49"/>
  <c r="Q6" i="49"/>
  <c r="R6" i="49"/>
  <c r="D7" i="49"/>
  <c r="F7" i="49"/>
  <c r="H7" i="49"/>
  <c r="I7" i="49"/>
  <c r="J7" i="49"/>
  <c r="L7" i="49"/>
  <c r="N7" i="49"/>
  <c r="P7" i="49"/>
  <c r="Q7" i="49"/>
  <c r="R7" i="49" s="1"/>
  <c r="D8" i="49"/>
  <c r="F8" i="49"/>
  <c r="H8" i="49"/>
  <c r="I8" i="49"/>
  <c r="J8" i="49"/>
  <c r="L8" i="49"/>
  <c r="N8" i="49"/>
  <c r="P8" i="49"/>
  <c r="Q8" i="49"/>
  <c r="R8" i="49" s="1"/>
  <c r="D9" i="49"/>
  <c r="F9" i="49"/>
  <c r="H9" i="49"/>
  <c r="I9" i="49"/>
  <c r="J9" i="49"/>
  <c r="L9" i="49"/>
  <c r="N9" i="49"/>
  <c r="P9" i="49"/>
  <c r="Q9" i="49"/>
  <c r="R9" i="49" s="1"/>
  <c r="D10" i="49"/>
  <c r="F10" i="49"/>
  <c r="H10" i="49"/>
  <c r="I10" i="49"/>
  <c r="J10" i="49"/>
  <c r="L10" i="49"/>
  <c r="N10" i="49"/>
  <c r="P10" i="49"/>
  <c r="Q10" i="49"/>
  <c r="R10" i="49" s="1"/>
  <c r="D11" i="49"/>
  <c r="F11" i="49"/>
  <c r="H11" i="49"/>
  <c r="I11" i="49"/>
  <c r="J11" i="49"/>
  <c r="L11" i="49"/>
  <c r="N11" i="49"/>
  <c r="P11" i="49"/>
  <c r="Q11" i="49"/>
  <c r="R11" i="49" s="1"/>
  <c r="D12" i="49"/>
  <c r="F12" i="49"/>
  <c r="H12" i="49"/>
  <c r="I12" i="49"/>
  <c r="J12" i="49"/>
  <c r="L12" i="49"/>
  <c r="N12" i="49"/>
  <c r="P12" i="49"/>
  <c r="Q12" i="49"/>
  <c r="R12" i="49" s="1"/>
  <c r="D13" i="49"/>
  <c r="F13" i="49"/>
  <c r="H13" i="49"/>
  <c r="I13" i="49"/>
  <c r="J13" i="49"/>
  <c r="L13" i="49"/>
  <c r="N13" i="49"/>
  <c r="P13" i="49"/>
  <c r="Q13" i="49"/>
  <c r="R13" i="49" s="1"/>
  <c r="D14" i="49"/>
  <c r="F14" i="49"/>
  <c r="H14" i="49"/>
  <c r="I14" i="49"/>
  <c r="J14" i="49"/>
  <c r="L14" i="49"/>
  <c r="N14" i="49"/>
  <c r="P14" i="49"/>
  <c r="Q14" i="49"/>
  <c r="R14" i="49" s="1"/>
  <c r="D15" i="49"/>
  <c r="F15" i="49"/>
  <c r="H15" i="49"/>
  <c r="I15" i="49"/>
  <c r="J15" i="49"/>
  <c r="L15" i="49"/>
  <c r="N15" i="49"/>
  <c r="P15" i="49"/>
  <c r="Q15" i="49"/>
  <c r="R15" i="49" s="1"/>
  <c r="D16" i="49"/>
  <c r="F16" i="49"/>
  <c r="H16" i="49"/>
  <c r="I16" i="49"/>
  <c r="J16" i="49"/>
  <c r="L16" i="49"/>
  <c r="N16" i="49"/>
  <c r="P16" i="49"/>
  <c r="Q16" i="49"/>
  <c r="R16" i="49" s="1"/>
  <c r="D17" i="49"/>
  <c r="F17" i="49"/>
  <c r="H17" i="49"/>
  <c r="I17" i="49"/>
  <c r="J17" i="49"/>
  <c r="L17" i="49"/>
  <c r="N17" i="49"/>
  <c r="P17" i="49"/>
  <c r="Q17" i="49"/>
  <c r="R17" i="49" s="1"/>
  <c r="B18" i="49"/>
  <c r="C18" i="49"/>
  <c r="D18" i="49"/>
  <c r="E18" i="49"/>
  <c r="F18" i="49" s="1"/>
  <c r="G18" i="49"/>
  <c r="H18" i="49"/>
  <c r="I18" i="49"/>
  <c r="J18" i="49"/>
  <c r="K18" i="49"/>
  <c r="L18" i="49"/>
  <c r="M18" i="49"/>
  <c r="N18" i="49"/>
  <c r="O18" i="49"/>
  <c r="P18" i="49" s="1"/>
  <c r="Q18" i="49"/>
  <c r="R18" i="49"/>
  <c r="C22" i="49"/>
  <c r="D22" i="49"/>
  <c r="E22" i="49"/>
  <c r="F22" i="49"/>
  <c r="G22" i="49"/>
  <c r="H22" i="49"/>
  <c r="I22" i="49"/>
  <c r="J22" i="49"/>
  <c r="K22" i="49"/>
  <c r="L22" i="49"/>
  <c r="M22" i="49"/>
  <c r="N22" i="49"/>
  <c r="O22" i="49"/>
  <c r="P22" i="49"/>
  <c r="Q22" i="49"/>
  <c r="R22" i="49"/>
  <c r="D23" i="49"/>
  <c r="F23" i="49"/>
  <c r="H23" i="49"/>
  <c r="I23" i="49"/>
  <c r="J23" i="49"/>
  <c r="L23" i="49"/>
  <c r="N23" i="49"/>
  <c r="P23" i="49"/>
  <c r="Q23" i="49"/>
  <c r="R23" i="49" s="1"/>
  <c r="D24" i="49"/>
  <c r="F24" i="49"/>
  <c r="H24" i="49"/>
  <c r="I24" i="49"/>
  <c r="J24" i="49"/>
  <c r="L24" i="49"/>
  <c r="N24" i="49"/>
  <c r="P24" i="49"/>
  <c r="Q24" i="49"/>
  <c r="R24" i="49" s="1"/>
  <c r="D25" i="49"/>
  <c r="F25" i="49"/>
  <c r="H25" i="49"/>
  <c r="I25" i="49"/>
  <c r="J25" i="49"/>
  <c r="L25" i="49"/>
  <c r="N25" i="49"/>
  <c r="P25" i="49"/>
  <c r="Q25" i="49"/>
  <c r="R25" i="49" s="1"/>
  <c r="D26" i="49"/>
  <c r="F26" i="49"/>
  <c r="H26" i="49"/>
  <c r="I26" i="49"/>
  <c r="J26" i="49"/>
  <c r="L26" i="49"/>
  <c r="N26" i="49"/>
  <c r="P26" i="49"/>
  <c r="Q26" i="49"/>
  <c r="R26" i="49" s="1"/>
  <c r="D27" i="49"/>
  <c r="F27" i="49"/>
  <c r="H27" i="49"/>
  <c r="I27" i="49"/>
  <c r="J27" i="49"/>
  <c r="L27" i="49"/>
  <c r="N27" i="49"/>
  <c r="P27" i="49"/>
  <c r="Q27" i="49"/>
  <c r="R27" i="49" s="1"/>
  <c r="D28" i="49"/>
  <c r="F28" i="49"/>
  <c r="H28" i="49"/>
  <c r="I28" i="49"/>
  <c r="J28" i="49"/>
  <c r="L28" i="49"/>
  <c r="N28" i="49"/>
  <c r="P28" i="49"/>
  <c r="Q28" i="49"/>
  <c r="R28" i="49" s="1"/>
  <c r="D29" i="49"/>
  <c r="F29" i="49"/>
  <c r="H29" i="49"/>
  <c r="I29" i="49"/>
  <c r="J29" i="49"/>
  <c r="L29" i="49"/>
  <c r="N29" i="49"/>
  <c r="P29" i="49"/>
  <c r="Q29" i="49"/>
  <c r="R29" i="49" s="1"/>
  <c r="D30" i="49"/>
  <c r="F30" i="49"/>
  <c r="H30" i="49"/>
  <c r="I30" i="49"/>
  <c r="J30" i="49"/>
  <c r="L30" i="49"/>
  <c r="N30" i="49"/>
  <c r="P30" i="49"/>
  <c r="Q30" i="49"/>
  <c r="R30" i="49" s="1"/>
  <c r="D31" i="49"/>
  <c r="F31" i="49"/>
  <c r="H31" i="49"/>
  <c r="I31" i="49"/>
  <c r="J31" i="49"/>
  <c r="L31" i="49"/>
  <c r="N31" i="49"/>
  <c r="P31" i="49"/>
  <c r="Q31" i="49"/>
  <c r="R31" i="49" s="1"/>
  <c r="D32" i="49"/>
  <c r="F32" i="49"/>
  <c r="H32" i="49"/>
  <c r="I32" i="49"/>
  <c r="J32" i="49"/>
  <c r="L32" i="49"/>
  <c r="N32" i="49"/>
  <c r="P32" i="49"/>
  <c r="Q32" i="49"/>
  <c r="R32" i="49" s="1"/>
  <c r="D33" i="49"/>
  <c r="F33" i="49"/>
  <c r="H33" i="49"/>
  <c r="I33" i="49"/>
  <c r="J33" i="49"/>
  <c r="L33" i="49"/>
  <c r="N33" i="49"/>
  <c r="P33" i="49"/>
  <c r="Q33" i="49"/>
  <c r="R33" i="49" s="1"/>
  <c r="D34" i="49"/>
  <c r="F34" i="49"/>
  <c r="H34" i="49"/>
  <c r="I34" i="49"/>
  <c r="J34" i="49"/>
  <c r="L34" i="49"/>
  <c r="N34" i="49"/>
  <c r="P34" i="49"/>
  <c r="Q34" i="49"/>
  <c r="R34" i="49" s="1"/>
  <c r="D35" i="49"/>
  <c r="F35" i="49"/>
  <c r="H35" i="49"/>
  <c r="I35" i="49"/>
  <c r="J35" i="49"/>
  <c r="L35" i="49"/>
  <c r="N35" i="49"/>
  <c r="P35" i="49"/>
  <c r="Q35" i="49"/>
  <c r="R35" i="49" s="1"/>
  <c r="B36" i="49"/>
  <c r="C36" i="49"/>
  <c r="D36" i="49"/>
  <c r="E36" i="49"/>
  <c r="F36" i="49"/>
  <c r="G36" i="49"/>
  <c r="H36" i="49"/>
  <c r="I36" i="49"/>
  <c r="J36" i="49"/>
  <c r="K36" i="49"/>
  <c r="L36" i="49"/>
  <c r="M36" i="49"/>
  <c r="N36" i="49"/>
  <c r="O36" i="49"/>
  <c r="P36" i="49"/>
  <c r="Q36" i="49"/>
  <c r="R36" i="49"/>
  <c r="A3" i="48"/>
  <c r="C6" i="48"/>
  <c r="D6" i="48"/>
  <c r="E6" i="48"/>
  <c r="F6" i="48"/>
  <c r="G6" i="48"/>
  <c r="H6" i="48"/>
  <c r="I6" i="48"/>
  <c r="J6" i="48"/>
  <c r="K6" i="48"/>
  <c r="L6" i="48"/>
  <c r="M6" i="48"/>
  <c r="N6" i="48"/>
  <c r="O6" i="48"/>
  <c r="P6" i="48"/>
  <c r="Q6" i="48"/>
  <c r="R6" i="48"/>
  <c r="D7" i="48"/>
  <c r="F7" i="48"/>
  <c r="H7" i="48"/>
  <c r="I7" i="48"/>
  <c r="J7" i="48" s="1"/>
  <c r="L7" i="48"/>
  <c r="N7" i="48"/>
  <c r="P7" i="48"/>
  <c r="Q7" i="48"/>
  <c r="R7" i="48"/>
  <c r="D8" i="48"/>
  <c r="F8" i="48"/>
  <c r="H8" i="48"/>
  <c r="I8" i="48"/>
  <c r="J8" i="48" s="1"/>
  <c r="L8" i="48"/>
  <c r="N8" i="48"/>
  <c r="P8" i="48"/>
  <c r="Q8" i="48"/>
  <c r="R8" i="48"/>
  <c r="D9" i="48"/>
  <c r="F9" i="48"/>
  <c r="H9" i="48"/>
  <c r="I9" i="48"/>
  <c r="J9" i="48" s="1"/>
  <c r="L9" i="48"/>
  <c r="N9" i="48"/>
  <c r="P9" i="48"/>
  <c r="Q9" i="48"/>
  <c r="R9" i="48"/>
  <c r="D10" i="48"/>
  <c r="F10" i="48"/>
  <c r="H10" i="48"/>
  <c r="I10" i="48"/>
  <c r="J10" i="48" s="1"/>
  <c r="L10" i="48"/>
  <c r="N10" i="48"/>
  <c r="P10" i="48"/>
  <c r="Q10" i="48"/>
  <c r="R10" i="48"/>
  <c r="D11" i="48"/>
  <c r="F11" i="48"/>
  <c r="H11" i="48"/>
  <c r="I11" i="48"/>
  <c r="J11" i="48" s="1"/>
  <c r="L11" i="48"/>
  <c r="N11" i="48"/>
  <c r="P11" i="48"/>
  <c r="Q11" i="48"/>
  <c r="R11" i="48"/>
  <c r="D12" i="48"/>
  <c r="F12" i="48"/>
  <c r="H12" i="48"/>
  <c r="I12" i="48"/>
  <c r="J12" i="48" s="1"/>
  <c r="L12" i="48"/>
  <c r="N12" i="48"/>
  <c r="P12" i="48"/>
  <c r="Q12" i="48"/>
  <c r="R12" i="48"/>
  <c r="D13" i="48"/>
  <c r="F13" i="48"/>
  <c r="H13" i="48"/>
  <c r="I13" i="48"/>
  <c r="J13" i="48" s="1"/>
  <c r="L13" i="48"/>
  <c r="N13" i="48"/>
  <c r="P13" i="48"/>
  <c r="Q13" i="48"/>
  <c r="R13" i="48"/>
  <c r="D14" i="48"/>
  <c r="F14" i="48"/>
  <c r="H14" i="48"/>
  <c r="I14" i="48"/>
  <c r="J14" i="48" s="1"/>
  <c r="L14" i="48"/>
  <c r="N14" i="48"/>
  <c r="P14" i="48"/>
  <c r="Q14" i="48"/>
  <c r="R14" i="48"/>
  <c r="D15" i="48"/>
  <c r="F15" i="48"/>
  <c r="H15" i="48"/>
  <c r="I15" i="48"/>
  <c r="J15" i="48" s="1"/>
  <c r="L15" i="48"/>
  <c r="N15" i="48"/>
  <c r="P15" i="48"/>
  <c r="Q15" i="48"/>
  <c r="R15" i="48"/>
  <c r="D16" i="48"/>
  <c r="F16" i="48"/>
  <c r="H16" i="48"/>
  <c r="I16" i="48"/>
  <c r="J16" i="48" s="1"/>
  <c r="L16" i="48"/>
  <c r="N16" i="48"/>
  <c r="P16" i="48"/>
  <c r="Q16" i="48"/>
  <c r="R16" i="48"/>
  <c r="D17" i="48"/>
  <c r="F17" i="48"/>
  <c r="H17" i="48"/>
  <c r="I17" i="48"/>
  <c r="J17" i="48" s="1"/>
  <c r="L17" i="48"/>
  <c r="N17" i="48"/>
  <c r="P17" i="48"/>
  <c r="Q17" i="48"/>
  <c r="R17" i="48"/>
  <c r="D18" i="48"/>
  <c r="F18" i="48"/>
  <c r="H18" i="48"/>
  <c r="I18" i="48"/>
  <c r="J18" i="48" s="1"/>
  <c r="L18" i="48"/>
  <c r="N18" i="48"/>
  <c r="P18" i="48"/>
  <c r="Q18" i="48"/>
  <c r="R18" i="48"/>
  <c r="B19" i="48"/>
  <c r="C19" i="48"/>
  <c r="D19" i="48" s="1"/>
  <c r="E19" i="48"/>
  <c r="F19" i="48" s="1"/>
  <c r="G19" i="48"/>
  <c r="H19" i="48" s="1"/>
  <c r="I19" i="48"/>
  <c r="J19" i="48" s="1"/>
  <c r="K19" i="48"/>
  <c r="L19" i="48" s="1"/>
  <c r="M19" i="48"/>
  <c r="N19" i="48" s="1"/>
  <c r="O19" i="48"/>
  <c r="P19" i="48" s="1"/>
  <c r="Q19" i="48"/>
  <c r="R19" i="48" s="1"/>
  <c r="C23" i="48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R23" i="48"/>
  <c r="D24" i="48"/>
  <c r="F24" i="48"/>
  <c r="H24" i="48"/>
  <c r="I24" i="48"/>
  <c r="J24" i="48"/>
  <c r="L24" i="48"/>
  <c r="N24" i="48"/>
  <c r="P24" i="48"/>
  <c r="Q24" i="48"/>
  <c r="R24" i="48" s="1"/>
  <c r="D25" i="48"/>
  <c r="F25" i="48"/>
  <c r="H25" i="48"/>
  <c r="I25" i="48"/>
  <c r="J25" i="48"/>
  <c r="L25" i="48"/>
  <c r="N25" i="48"/>
  <c r="P25" i="48"/>
  <c r="Q25" i="48"/>
  <c r="R25" i="48" s="1"/>
  <c r="D26" i="48"/>
  <c r="F26" i="48"/>
  <c r="H26" i="48"/>
  <c r="I26" i="48"/>
  <c r="J26" i="48"/>
  <c r="L26" i="48"/>
  <c r="N26" i="48"/>
  <c r="P26" i="48"/>
  <c r="Q26" i="48"/>
  <c r="R26" i="48" s="1"/>
  <c r="D27" i="48"/>
  <c r="F27" i="48"/>
  <c r="H27" i="48"/>
  <c r="I27" i="48"/>
  <c r="J27" i="48"/>
  <c r="L27" i="48"/>
  <c r="N27" i="48"/>
  <c r="P27" i="48"/>
  <c r="Q27" i="48"/>
  <c r="R27" i="48" s="1"/>
  <c r="D28" i="48"/>
  <c r="F28" i="48"/>
  <c r="H28" i="48"/>
  <c r="I28" i="48"/>
  <c r="J28" i="48"/>
  <c r="L28" i="48"/>
  <c r="N28" i="48"/>
  <c r="P28" i="48"/>
  <c r="Q28" i="48"/>
  <c r="R28" i="48" s="1"/>
  <c r="D29" i="48"/>
  <c r="F29" i="48"/>
  <c r="H29" i="48"/>
  <c r="I29" i="48"/>
  <c r="J29" i="48"/>
  <c r="L29" i="48"/>
  <c r="N29" i="48"/>
  <c r="P29" i="48"/>
  <c r="Q29" i="48"/>
  <c r="R29" i="48" s="1"/>
  <c r="D30" i="48"/>
  <c r="F30" i="48"/>
  <c r="H30" i="48"/>
  <c r="I30" i="48"/>
  <c r="J30" i="48"/>
  <c r="L30" i="48"/>
  <c r="N30" i="48"/>
  <c r="P30" i="48"/>
  <c r="Q30" i="48"/>
  <c r="R30" i="48" s="1"/>
  <c r="D31" i="48"/>
  <c r="F31" i="48"/>
  <c r="H31" i="48"/>
  <c r="I31" i="48"/>
  <c r="J31" i="48"/>
  <c r="L31" i="48"/>
  <c r="N31" i="48"/>
  <c r="P31" i="48"/>
  <c r="Q31" i="48"/>
  <c r="R31" i="48" s="1"/>
  <c r="D32" i="48"/>
  <c r="F32" i="48"/>
  <c r="H32" i="48"/>
  <c r="I32" i="48"/>
  <c r="J32" i="48"/>
  <c r="L32" i="48"/>
  <c r="N32" i="48"/>
  <c r="P32" i="48"/>
  <c r="Q32" i="48"/>
  <c r="R32" i="48" s="1"/>
  <c r="D33" i="48"/>
  <c r="F33" i="48"/>
  <c r="H33" i="48"/>
  <c r="I33" i="48"/>
  <c r="J33" i="48"/>
  <c r="L33" i="48"/>
  <c r="N33" i="48"/>
  <c r="P33" i="48"/>
  <c r="Q33" i="48"/>
  <c r="R33" i="48" s="1"/>
  <c r="D34" i="48"/>
  <c r="F34" i="48"/>
  <c r="H34" i="48"/>
  <c r="I34" i="48"/>
  <c r="J34" i="48"/>
  <c r="L34" i="48"/>
  <c r="N34" i="48"/>
  <c r="P34" i="48"/>
  <c r="Q34" i="48"/>
  <c r="R34" i="48" s="1"/>
  <c r="D35" i="48"/>
  <c r="F35" i="48"/>
  <c r="H35" i="48"/>
  <c r="I35" i="48"/>
  <c r="J35" i="48"/>
  <c r="L35" i="48"/>
  <c r="N35" i="48"/>
  <c r="P35" i="48"/>
  <c r="Q35" i="48"/>
  <c r="R35" i="48" s="1"/>
  <c r="D36" i="48"/>
  <c r="F36" i="48"/>
  <c r="H36" i="48"/>
  <c r="I36" i="48"/>
  <c r="J36" i="48"/>
  <c r="L36" i="48"/>
  <c r="N36" i="48"/>
  <c r="P36" i="48"/>
  <c r="Q36" i="48"/>
  <c r="R36" i="48" s="1"/>
  <c r="D37" i="48"/>
  <c r="F37" i="48"/>
  <c r="H37" i="48"/>
  <c r="I37" i="48"/>
  <c r="J37" i="48"/>
  <c r="L37" i="48"/>
  <c r="N37" i="48"/>
  <c r="P37" i="48"/>
  <c r="Q37" i="48"/>
  <c r="R37" i="48" s="1"/>
  <c r="B38" i="48"/>
  <c r="C38" i="48"/>
  <c r="D38" i="48"/>
  <c r="E38" i="48"/>
  <c r="F38" i="48"/>
  <c r="G38" i="48"/>
  <c r="H38" i="48"/>
  <c r="I38" i="48"/>
  <c r="J38" i="48"/>
  <c r="K38" i="48"/>
  <c r="L38" i="48"/>
  <c r="M38" i="48"/>
  <c r="N38" i="48"/>
  <c r="O38" i="48"/>
  <c r="P38" i="48"/>
  <c r="Q38" i="48"/>
  <c r="R38" i="48"/>
  <c r="C6" i="47"/>
  <c r="D6" i="47"/>
  <c r="E6" i="47"/>
  <c r="F6" i="47"/>
  <c r="G6" i="47"/>
  <c r="H6" i="47"/>
  <c r="I6" i="47"/>
  <c r="J6" i="47"/>
  <c r="K6" i="47"/>
  <c r="L6" i="47"/>
  <c r="M6" i="47"/>
  <c r="N6" i="47"/>
  <c r="O6" i="47"/>
  <c r="P6" i="47"/>
  <c r="Q6" i="47"/>
  <c r="R6" i="47"/>
  <c r="D7" i="47"/>
  <c r="F7" i="47"/>
  <c r="H7" i="47"/>
  <c r="I7" i="47"/>
  <c r="J7" i="47" s="1"/>
  <c r="L7" i="47"/>
  <c r="N7" i="47"/>
  <c r="P7" i="47"/>
  <c r="Q7" i="47"/>
  <c r="R7" i="47" s="1"/>
  <c r="D8" i="47"/>
  <c r="F8" i="47"/>
  <c r="H8" i="47"/>
  <c r="I8" i="47"/>
  <c r="J8" i="47" s="1"/>
  <c r="L8" i="47"/>
  <c r="N8" i="47"/>
  <c r="P8" i="47"/>
  <c r="Q8" i="47"/>
  <c r="R8" i="47" s="1"/>
  <c r="D9" i="47"/>
  <c r="F9" i="47"/>
  <c r="H9" i="47"/>
  <c r="I9" i="47"/>
  <c r="J9" i="47"/>
  <c r="L9" i="47"/>
  <c r="N9" i="47"/>
  <c r="P9" i="47"/>
  <c r="Q9" i="47"/>
  <c r="R9" i="47" s="1"/>
  <c r="B10" i="47"/>
  <c r="C10" i="47"/>
  <c r="D10" i="47"/>
  <c r="E10" i="47"/>
  <c r="F10" i="47"/>
  <c r="G10" i="47"/>
  <c r="H10" i="47"/>
  <c r="I10" i="47"/>
  <c r="J10" i="47"/>
  <c r="K10" i="47"/>
  <c r="L10" i="47"/>
  <c r="M10" i="47"/>
  <c r="N10" i="47"/>
  <c r="O10" i="47"/>
  <c r="P10" i="47"/>
  <c r="Q10" i="47"/>
  <c r="R10" i="47"/>
  <c r="C14" i="47"/>
  <c r="D14" i="47"/>
  <c r="E14" i="47"/>
  <c r="F14" i="47"/>
  <c r="G14" i="47"/>
  <c r="H14" i="47"/>
  <c r="I14" i="47"/>
  <c r="J14" i="47"/>
  <c r="K14" i="47"/>
  <c r="L14" i="47"/>
  <c r="M14" i="47"/>
  <c r="N14" i="47"/>
  <c r="O14" i="47"/>
  <c r="P14" i="47"/>
  <c r="Q14" i="47"/>
  <c r="R14" i="47"/>
  <c r="D15" i="47"/>
  <c r="F15" i="47"/>
  <c r="H15" i="47"/>
  <c r="I15" i="47"/>
  <c r="J15" i="47" s="1"/>
  <c r="L15" i="47"/>
  <c r="N15" i="47"/>
  <c r="P15" i="47"/>
  <c r="Q15" i="47"/>
  <c r="R15" i="47" s="1"/>
  <c r="D16" i="47"/>
  <c r="F16" i="47"/>
  <c r="H16" i="47"/>
  <c r="I16" i="47"/>
  <c r="J16" i="47"/>
  <c r="L16" i="47"/>
  <c r="N16" i="47"/>
  <c r="P16" i="47"/>
  <c r="Q16" i="47"/>
  <c r="R16" i="47" s="1"/>
  <c r="D17" i="47"/>
  <c r="F17" i="47"/>
  <c r="H17" i="47"/>
  <c r="I17" i="47"/>
  <c r="J17" i="47"/>
  <c r="L17" i="47"/>
  <c r="N17" i="47"/>
  <c r="P17" i="47"/>
  <c r="Q17" i="47"/>
  <c r="R17" i="47" s="1"/>
  <c r="B18" i="47"/>
  <c r="C18" i="47"/>
  <c r="D18" i="47"/>
  <c r="E18" i="47"/>
  <c r="F18" i="47"/>
  <c r="G18" i="47"/>
  <c r="H18" i="47"/>
  <c r="I18" i="47"/>
  <c r="J18" i="47"/>
  <c r="K18" i="47"/>
  <c r="L18" i="47"/>
  <c r="M18" i="47"/>
  <c r="N18" i="47"/>
  <c r="O18" i="47"/>
  <c r="P18" i="47"/>
  <c r="Q18" i="47"/>
  <c r="R18" i="47"/>
  <c r="D6" i="46"/>
  <c r="F6" i="46"/>
  <c r="H6" i="46"/>
  <c r="I6" i="46"/>
  <c r="J6" i="46"/>
  <c r="L6" i="46"/>
  <c r="N6" i="46"/>
  <c r="P6" i="46"/>
  <c r="Q6" i="46"/>
  <c r="R6" i="46"/>
  <c r="D7" i="46"/>
  <c r="F7" i="46"/>
  <c r="H7" i="46"/>
  <c r="I7" i="46"/>
  <c r="J7" i="46" s="1"/>
  <c r="L7" i="46"/>
  <c r="N7" i="46"/>
  <c r="P7" i="46"/>
  <c r="Q7" i="46"/>
  <c r="R7" i="46"/>
  <c r="D8" i="46"/>
  <c r="F8" i="46"/>
  <c r="H8" i="46"/>
  <c r="I8" i="46"/>
  <c r="J8" i="46" s="1"/>
  <c r="L8" i="46"/>
  <c r="N8" i="46"/>
  <c r="P8" i="46"/>
  <c r="Q8" i="46"/>
  <c r="R8" i="46"/>
  <c r="D9" i="46"/>
  <c r="F9" i="46"/>
  <c r="H9" i="46"/>
  <c r="I9" i="46"/>
  <c r="J9" i="46" s="1"/>
  <c r="L9" i="46"/>
  <c r="N9" i="46"/>
  <c r="P9" i="46"/>
  <c r="Q9" i="46"/>
  <c r="R9" i="46"/>
  <c r="D10" i="46"/>
  <c r="F10" i="46"/>
  <c r="H10" i="46"/>
  <c r="I10" i="46"/>
  <c r="J10" i="46" s="1"/>
  <c r="L10" i="46"/>
  <c r="N10" i="46"/>
  <c r="P10" i="46"/>
  <c r="Q10" i="46"/>
  <c r="R10" i="46"/>
  <c r="D11" i="46"/>
  <c r="F11" i="46"/>
  <c r="H11" i="46"/>
  <c r="I11" i="46"/>
  <c r="J11" i="46" s="1"/>
  <c r="L11" i="46"/>
  <c r="N11" i="46"/>
  <c r="P11" i="46"/>
  <c r="Q11" i="46"/>
  <c r="R11" i="46"/>
  <c r="D12" i="46"/>
  <c r="F12" i="46"/>
  <c r="H12" i="46"/>
  <c r="I12" i="46"/>
  <c r="J12" i="46" s="1"/>
  <c r="L12" i="46"/>
  <c r="N12" i="46"/>
  <c r="P12" i="46"/>
  <c r="Q12" i="46"/>
  <c r="R12" i="46"/>
  <c r="D13" i="46"/>
  <c r="F13" i="46"/>
  <c r="H13" i="46"/>
  <c r="I13" i="46"/>
  <c r="J13" i="46" s="1"/>
  <c r="L13" i="46"/>
  <c r="N13" i="46"/>
  <c r="P13" i="46"/>
  <c r="Q13" i="46"/>
  <c r="R13" i="46"/>
  <c r="D14" i="46"/>
  <c r="F14" i="46"/>
  <c r="H14" i="46"/>
  <c r="I14" i="46"/>
  <c r="J14" i="46" s="1"/>
  <c r="L14" i="46"/>
  <c r="N14" i="46"/>
  <c r="P14" i="46"/>
  <c r="Q14" i="46"/>
  <c r="R14" i="46"/>
  <c r="D15" i="46"/>
  <c r="F15" i="46"/>
  <c r="H15" i="46"/>
  <c r="I15" i="46"/>
  <c r="J15" i="46" s="1"/>
  <c r="L15" i="46"/>
  <c r="N15" i="46"/>
  <c r="P15" i="46"/>
  <c r="Q15" i="46"/>
  <c r="R15" i="46"/>
  <c r="B16" i="46"/>
  <c r="C16" i="46"/>
  <c r="D16" i="46" s="1"/>
  <c r="E16" i="46"/>
  <c r="F16" i="46" s="1"/>
  <c r="G16" i="46"/>
  <c r="H16" i="46" s="1"/>
  <c r="I16" i="46"/>
  <c r="J16" i="46" s="1"/>
  <c r="K16" i="46"/>
  <c r="L16" i="46" s="1"/>
  <c r="M16" i="46"/>
  <c r="N16" i="46" s="1"/>
  <c r="O16" i="46"/>
  <c r="P16" i="46" s="1"/>
  <c r="Q16" i="46"/>
  <c r="R16" i="46" s="1"/>
  <c r="D20" i="46"/>
  <c r="F20" i="46"/>
  <c r="H20" i="46"/>
  <c r="I20" i="46"/>
  <c r="J20" i="46"/>
  <c r="L20" i="46"/>
  <c r="N20" i="46"/>
  <c r="P20" i="46"/>
  <c r="Q20" i="46"/>
  <c r="R20" i="46"/>
  <c r="D21" i="46"/>
  <c r="F21" i="46"/>
  <c r="H21" i="46"/>
  <c r="I21" i="46"/>
  <c r="J21" i="46"/>
  <c r="L21" i="46"/>
  <c r="N21" i="46"/>
  <c r="P21" i="46"/>
  <c r="Q21" i="46"/>
  <c r="R21" i="46" s="1"/>
  <c r="D22" i="46"/>
  <c r="F22" i="46"/>
  <c r="H22" i="46"/>
  <c r="I22" i="46"/>
  <c r="J22" i="46"/>
  <c r="L22" i="46"/>
  <c r="N22" i="46"/>
  <c r="P22" i="46"/>
  <c r="Q22" i="46"/>
  <c r="R22" i="46" s="1"/>
  <c r="D23" i="46"/>
  <c r="F23" i="46"/>
  <c r="H23" i="46"/>
  <c r="I23" i="46"/>
  <c r="J23" i="46"/>
  <c r="L23" i="46"/>
  <c r="N23" i="46"/>
  <c r="P23" i="46"/>
  <c r="Q23" i="46"/>
  <c r="R23" i="46" s="1"/>
  <c r="D24" i="46"/>
  <c r="F24" i="46"/>
  <c r="H24" i="46"/>
  <c r="I24" i="46"/>
  <c r="J24" i="46"/>
  <c r="L24" i="46"/>
  <c r="N24" i="46"/>
  <c r="P24" i="46"/>
  <c r="Q24" i="46"/>
  <c r="R24" i="46" s="1"/>
  <c r="D25" i="46"/>
  <c r="F25" i="46"/>
  <c r="H25" i="46"/>
  <c r="I25" i="46"/>
  <c r="J25" i="46"/>
  <c r="L25" i="46"/>
  <c r="N25" i="46"/>
  <c r="P25" i="46"/>
  <c r="Q25" i="46"/>
  <c r="R25" i="46" s="1"/>
  <c r="D26" i="46"/>
  <c r="F26" i="46"/>
  <c r="H26" i="46"/>
  <c r="I26" i="46"/>
  <c r="J26" i="46"/>
  <c r="L26" i="46"/>
  <c r="N26" i="46"/>
  <c r="P26" i="46"/>
  <c r="Q26" i="46"/>
  <c r="R26" i="46" s="1"/>
  <c r="D27" i="46"/>
  <c r="F27" i="46"/>
  <c r="H27" i="46"/>
  <c r="I27" i="46"/>
  <c r="J27" i="46"/>
  <c r="L27" i="46"/>
  <c r="N27" i="46"/>
  <c r="P27" i="46"/>
  <c r="Q27" i="46"/>
  <c r="R27" i="46" s="1"/>
  <c r="D28" i="46"/>
  <c r="F28" i="46"/>
  <c r="H28" i="46"/>
  <c r="I28" i="46"/>
  <c r="J28" i="46"/>
  <c r="L28" i="46"/>
  <c r="N28" i="46"/>
  <c r="P28" i="46"/>
  <c r="Q28" i="46"/>
  <c r="R28" i="46" s="1"/>
  <c r="D29" i="46"/>
  <c r="F29" i="46"/>
  <c r="H29" i="46"/>
  <c r="I29" i="46"/>
  <c r="J29" i="46"/>
  <c r="L29" i="46"/>
  <c r="N29" i="46"/>
  <c r="P29" i="46"/>
  <c r="Q29" i="46"/>
  <c r="R29" i="46" s="1"/>
  <c r="D30" i="46"/>
  <c r="F30" i="46"/>
  <c r="H30" i="46"/>
  <c r="I30" i="46"/>
  <c r="J30" i="46"/>
  <c r="L30" i="46"/>
  <c r="N30" i="46"/>
  <c r="P30" i="46"/>
  <c r="Q30" i="46"/>
  <c r="R30" i="46" s="1"/>
  <c r="D31" i="46"/>
  <c r="F31" i="46"/>
  <c r="H31" i="46"/>
  <c r="I31" i="46"/>
  <c r="J31" i="46"/>
  <c r="L31" i="46"/>
  <c r="N31" i="46"/>
  <c r="P31" i="46"/>
  <c r="Q31" i="46"/>
  <c r="R31" i="46" s="1"/>
  <c r="B32" i="46"/>
  <c r="C32" i="46"/>
  <c r="D32" i="46"/>
  <c r="E32" i="46"/>
  <c r="F32" i="46"/>
  <c r="G32" i="46"/>
  <c r="H32" i="46"/>
  <c r="I32" i="46"/>
  <c r="J32" i="46"/>
  <c r="K32" i="46"/>
  <c r="L32" i="46"/>
  <c r="M32" i="46"/>
  <c r="N32" i="46"/>
  <c r="O32" i="46"/>
  <c r="P32" i="46"/>
  <c r="Q32" i="46"/>
  <c r="R32" i="46"/>
  <c r="C6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D7" i="45"/>
  <c r="F7" i="45"/>
  <c r="H7" i="45"/>
  <c r="I7" i="45"/>
  <c r="J7" i="45" s="1"/>
  <c r="L7" i="45"/>
  <c r="N7" i="45"/>
  <c r="P7" i="45"/>
  <c r="Q7" i="45"/>
  <c r="R7" i="45"/>
  <c r="D8" i="45"/>
  <c r="F8" i="45"/>
  <c r="H8" i="45"/>
  <c r="I8" i="45"/>
  <c r="J8" i="45" s="1"/>
  <c r="L8" i="45"/>
  <c r="N8" i="45"/>
  <c r="P8" i="45"/>
  <c r="Q8" i="45"/>
  <c r="R8" i="45"/>
  <c r="D9" i="45"/>
  <c r="F9" i="45"/>
  <c r="H9" i="45"/>
  <c r="I9" i="45"/>
  <c r="J9" i="45" s="1"/>
  <c r="L9" i="45"/>
  <c r="N9" i="45"/>
  <c r="P9" i="45"/>
  <c r="Q9" i="45"/>
  <c r="R9" i="45"/>
  <c r="D10" i="45"/>
  <c r="F10" i="45"/>
  <c r="H10" i="45"/>
  <c r="I10" i="45"/>
  <c r="J10" i="45" s="1"/>
  <c r="L10" i="45"/>
  <c r="N10" i="45"/>
  <c r="P10" i="45"/>
  <c r="Q10" i="45"/>
  <c r="R10" i="45"/>
  <c r="D11" i="45"/>
  <c r="F11" i="45"/>
  <c r="H11" i="45"/>
  <c r="I11" i="45"/>
  <c r="J11" i="45" s="1"/>
  <c r="L11" i="45"/>
  <c r="N11" i="45"/>
  <c r="P11" i="45"/>
  <c r="Q11" i="45"/>
  <c r="R11" i="45"/>
  <c r="D12" i="45"/>
  <c r="F12" i="45"/>
  <c r="H12" i="45"/>
  <c r="I12" i="45"/>
  <c r="J12" i="45" s="1"/>
  <c r="L12" i="45"/>
  <c r="N12" i="45"/>
  <c r="P12" i="45"/>
  <c r="Q12" i="45"/>
  <c r="R12" i="45"/>
  <c r="D13" i="45"/>
  <c r="F13" i="45"/>
  <c r="H13" i="45"/>
  <c r="I13" i="45"/>
  <c r="J13" i="45" s="1"/>
  <c r="L13" i="45"/>
  <c r="N13" i="45"/>
  <c r="P13" i="45"/>
  <c r="Q13" i="45"/>
  <c r="R13" i="45"/>
  <c r="D14" i="45"/>
  <c r="F14" i="45"/>
  <c r="H14" i="45"/>
  <c r="I14" i="45"/>
  <c r="J14" i="45" s="1"/>
  <c r="L14" i="45"/>
  <c r="N14" i="45"/>
  <c r="P14" i="45"/>
  <c r="Q14" i="45"/>
  <c r="R14" i="45"/>
  <c r="D15" i="45"/>
  <c r="F15" i="45"/>
  <c r="H15" i="45"/>
  <c r="I15" i="45"/>
  <c r="J15" i="45" s="1"/>
  <c r="L15" i="45"/>
  <c r="N15" i="45"/>
  <c r="P15" i="45"/>
  <c r="Q15" i="45"/>
  <c r="R15" i="45"/>
  <c r="D16" i="45"/>
  <c r="F16" i="45"/>
  <c r="H16" i="45"/>
  <c r="I16" i="45"/>
  <c r="J16" i="45" s="1"/>
  <c r="L16" i="45"/>
  <c r="N16" i="45"/>
  <c r="P16" i="45"/>
  <c r="Q16" i="45"/>
  <c r="R16" i="45"/>
  <c r="B17" i="45"/>
  <c r="C17" i="45"/>
  <c r="D17" i="45" s="1"/>
  <c r="E17" i="45"/>
  <c r="F17" i="45" s="1"/>
  <c r="G17" i="45"/>
  <c r="H17" i="45" s="1"/>
  <c r="I17" i="45"/>
  <c r="J17" i="45" s="1"/>
  <c r="K17" i="45"/>
  <c r="L17" i="45" s="1"/>
  <c r="M17" i="45"/>
  <c r="N17" i="45" s="1"/>
  <c r="O17" i="45"/>
  <c r="P17" i="45" s="1"/>
  <c r="Q17" i="45"/>
  <c r="R17" i="45" s="1"/>
  <c r="C21" i="45"/>
  <c r="C35" i="45" s="1"/>
  <c r="D21" i="45"/>
  <c r="E21" i="45"/>
  <c r="E35" i="45" s="1"/>
  <c r="F21" i="45"/>
  <c r="G21" i="45"/>
  <c r="G35" i="45" s="1"/>
  <c r="H21" i="45"/>
  <c r="I21" i="45"/>
  <c r="I35" i="45" s="1"/>
  <c r="J21" i="45"/>
  <c r="K21" i="45"/>
  <c r="K35" i="45" s="1"/>
  <c r="L21" i="45"/>
  <c r="M21" i="45"/>
  <c r="M35" i="45" s="1"/>
  <c r="N21" i="45"/>
  <c r="O21" i="45"/>
  <c r="O35" i="45" s="1"/>
  <c r="P21" i="45"/>
  <c r="Q21" i="45"/>
  <c r="Q35" i="45" s="1"/>
  <c r="R21" i="45"/>
  <c r="D22" i="45"/>
  <c r="F22" i="45"/>
  <c r="H22" i="45"/>
  <c r="I22" i="45"/>
  <c r="J22" i="45"/>
  <c r="L22" i="45"/>
  <c r="N22" i="45"/>
  <c r="P22" i="45"/>
  <c r="Q22" i="45"/>
  <c r="R22" i="45" s="1"/>
  <c r="D23" i="45"/>
  <c r="F23" i="45"/>
  <c r="H23" i="45"/>
  <c r="I23" i="45"/>
  <c r="J23" i="45"/>
  <c r="L23" i="45"/>
  <c r="N23" i="45"/>
  <c r="P23" i="45"/>
  <c r="Q23" i="45"/>
  <c r="R23" i="45" s="1"/>
  <c r="D24" i="45"/>
  <c r="F24" i="45"/>
  <c r="H24" i="45"/>
  <c r="I24" i="45"/>
  <c r="J24" i="45"/>
  <c r="L24" i="45"/>
  <c r="N24" i="45"/>
  <c r="P24" i="45"/>
  <c r="Q24" i="45"/>
  <c r="R24" i="45" s="1"/>
  <c r="D25" i="45"/>
  <c r="F25" i="45"/>
  <c r="H25" i="45"/>
  <c r="I25" i="45"/>
  <c r="J25" i="45"/>
  <c r="L25" i="45"/>
  <c r="N25" i="45"/>
  <c r="P25" i="45"/>
  <c r="Q25" i="45"/>
  <c r="R25" i="45" s="1"/>
  <c r="D26" i="45"/>
  <c r="F26" i="45"/>
  <c r="H26" i="45"/>
  <c r="I26" i="45"/>
  <c r="J26" i="45"/>
  <c r="L26" i="45"/>
  <c r="N26" i="45"/>
  <c r="P26" i="45"/>
  <c r="Q26" i="45"/>
  <c r="R26" i="45" s="1"/>
  <c r="D27" i="45"/>
  <c r="F27" i="45"/>
  <c r="H27" i="45"/>
  <c r="I27" i="45"/>
  <c r="J27" i="45"/>
  <c r="L27" i="45"/>
  <c r="N27" i="45"/>
  <c r="P27" i="45"/>
  <c r="Q27" i="45"/>
  <c r="R27" i="45" s="1"/>
  <c r="D28" i="45"/>
  <c r="F28" i="45"/>
  <c r="H28" i="45"/>
  <c r="I28" i="45"/>
  <c r="J28" i="45"/>
  <c r="L28" i="45"/>
  <c r="N28" i="45"/>
  <c r="P28" i="45"/>
  <c r="Q28" i="45"/>
  <c r="R28" i="45" s="1"/>
  <c r="D29" i="45"/>
  <c r="F29" i="45"/>
  <c r="H29" i="45"/>
  <c r="I29" i="45"/>
  <c r="J29" i="45"/>
  <c r="L29" i="45"/>
  <c r="N29" i="45"/>
  <c r="P29" i="45"/>
  <c r="Q29" i="45"/>
  <c r="R29" i="45" s="1"/>
  <c r="D30" i="45"/>
  <c r="F30" i="45"/>
  <c r="H30" i="45"/>
  <c r="I30" i="45"/>
  <c r="J30" i="45"/>
  <c r="L30" i="45"/>
  <c r="N30" i="45"/>
  <c r="P30" i="45"/>
  <c r="Q30" i="45"/>
  <c r="R30" i="45" s="1"/>
  <c r="D31" i="45"/>
  <c r="F31" i="45"/>
  <c r="H31" i="45"/>
  <c r="I31" i="45"/>
  <c r="J31" i="45"/>
  <c r="L31" i="45"/>
  <c r="N31" i="45"/>
  <c r="P31" i="45"/>
  <c r="Q31" i="45"/>
  <c r="R31" i="45" s="1"/>
  <c r="B32" i="45"/>
  <c r="C32" i="45"/>
  <c r="D32" i="45"/>
  <c r="D36" i="45" s="1"/>
  <c r="E32" i="45"/>
  <c r="F32" i="45"/>
  <c r="G32" i="45"/>
  <c r="H32" i="45"/>
  <c r="I32" i="45"/>
  <c r="J32" i="45"/>
  <c r="K32" i="45"/>
  <c r="L32" i="45"/>
  <c r="M32" i="45"/>
  <c r="N32" i="45"/>
  <c r="O32" i="45"/>
  <c r="P32" i="45"/>
  <c r="Q32" i="45"/>
  <c r="R32" i="45"/>
  <c r="D35" i="45"/>
  <c r="F35" i="45"/>
  <c r="H35" i="45"/>
  <c r="J35" i="45"/>
  <c r="L35" i="45"/>
  <c r="N35" i="45"/>
  <c r="P35" i="45"/>
  <c r="R35" i="45"/>
  <c r="F36" i="45"/>
  <c r="I36" i="45"/>
  <c r="J36" i="45" s="1"/>
  <c r="L36" i="45"/>
  <c r="P36" i="45"/>
  <c r="Q36" i="45"/>
  <c r="R36" i="45"/>
  <c r="F37" i="45"/>
  <c r="I37" i="45"/>
  <c r="J37" i="45" s="1"/>
  <c r="L37" i="45"/>
  <c r="P37" i="45"/>
  <c r="Q37" i="45"/>
  <c r="R37" i="45"/>
  <c r="F38" i="45"/>
  <c r="I38" i="45"/>
  <c r="J38" i="45" s="1"/>
  <c r="L38" i="45"/>
  <c r="P38" i="45"/>
  <c r="Q38" i="45"/>
  <c r="R38" i="45"/>
  <c r="F39" i="45"/>
  <c r="I39" i="45"/>
  <c r="J39" i="45" s="1"/>
  <c r="L39" i="45"/>
  <c r="P39" i="45"/>
  <c r="Q39" i="45"/>
  <c r="R39" i="45"/>
  <c r="F40" i="45"/>
  <c r="H40" i="45"/>
  <c r="I40" i="45"/>
  <c r="J40" i="45" s="1"/>
  <c r="L40" i="45"/>
  <c r="N40" i="45"/>
  <c r="P40" i="45"/>
  <c r="Q40" i="45"/>
  <c r="R40" i="45"/>
  <c r="F41" i="45"/>
  <c r="H41" i="45"/>
  <c r="I41" i="45"/>
  <c r="J41" i="45" s="1"/>
  <c r="L41" i="45"/>
  <c r="N41" i="45"/>
  <c r="P41" i="45"/>
  <c r="Q41" i="45"/>
  <c r="R41" i="45"/>
  <c r="F42" i="45"/>
  <c r="H42" i="45"/>
  <c r="I42" i="45"/>
  <c r="J42" i="45" s="1"/>
  <c r="L42" i="45"/>
  <c r="N42" i="45"/>
  <c r="P42" i="45"/>
  <c r="Q42" i="45"/>
  <c r="R42" i="45"/>
  <c r="F43" i="45"/>
  <c r="H43" i="45"/>
  <c r="I43" i="45"/>
  <c r="J43" i="45" s="1"/>
  <c r="L43" i="45"/>
  <c r="N43" i="45"/>
  <c r="P43" i="45"/>
  <c r="Q43" i="45"/>
  <c r="R43" i="45"/>
  <c r="B44" i="45"/>
  <c r="C44" i="45"/>
  <c r="D44" i="45" s="1"/>
  <c r="E44" i="45"/>
  <c r="F44" i="45" s="1"/>
  <c r="G44" i="45"/>
  <c r="H44" i="45" s="1"/>
  <c r="I44" i="45"/>
  <c r="J44" i="45" s="1"/>
  <c r="K44" i="45"/>
  <c r="L44" i="45" s="1"/>
  <c r="M44" i="45"/>
  <c r="N44" i="45" s="1"/>
  <c r="O44" i="45"/>
  <c r="P44" i="45" s="1"/>
  <c r="Q44" i="45"/>
  <c r="R44" i="45" s="1"/>
  <c r="C6" i="44"/>
  <c r="D6" i="44"/>
  <c r="E6" i="44"/>
  <c r="F6" i="44"/>
  <c r="G6" i="44"/>
  <c r="H6" i="44"/>
  <c r="I6" i="44"/>
  <c r="J6" i="44"/>
  <c r="K6" i="44"/>
  <c r="L6" i="44"/>
  <c r="M6" i="44"/>
  <c r="N6" i="44"/>
  <c r="O6" i="44"/>
  <c r="P6" i="44"/>
  <c r="Q6" i="44"/>
  <c r="D7" i="44"/>
  <c r="F7" i="44"/>
  <c r="H7" i="44"/>
  <c r="I7" i="44"/>
  <c r="J7" i="44"/>
  <c r="L7" i="44"/>
  <c r="N7" i="44"/>
  <c r="P7" i="44"/>
  <c r="Q7" i="44"/>
  <c r="R7" i="44" s="1"/>
  <c r="D8" i="44"/>
  <c r="F8" i="44"/>
  <c r="H8" i="44"/>
  <c r="I8" i="44"/>
  <c r="J8" i="44"/>
  <c r="L8" i="44"/>
  <c r="N8" i="44"/>
  <c r="P8" i="44"/>
  <c r="Q8" i="44"/>
  <c r="R8" i="44" s="1"/>
  <c r="D9" i="44"/>
  <c r="F9" i="44"/>
  <c r="H9" i="44"/>
  <c r="I9" i="44"/>
  <c r="J9" i="44"/>
  <c r="L9" i="44"/>
  <c r="N9" i="44"/>
  <c r="P9" i="44"/>
  <c r="Q9" i="44"/>
  <c r="R9" i="44" s="1"/>
  <c r="D10" i="44"/>
  <c r="F10" i="44"/>
  <c r="H10" i="44"/>
  <c r="I10" i="44"/>
  <c r="J10" i="44"/>
  <c r="L10" i="44"/>
  <c r="N10" i="44"/>
  <c r="P10" i="44"/>
  <c r="Q10" i="44"/>
  <c r="R10" i="44" s="1"/>
  <c r="D11" i="44"/>
  <c r="F11" i="44"/>
  <c r="H11" i="44"/>
  <c r="I11" i="44"/>
  <c r="J11" i="44"/>
  <c r="L11" i="44"/>
  <c r="N11" i="44"/>
  <c r="P11" i="44"/>
  <c r="Q11" i="44"/>
  <c r="R11" i="44" s="1"/>
  <c r="B12" i="44"/>
  <c r="C12" i="44"/>
  <c r="D12" i="44"/>
  <c r="E12" i="44"/>
  <c r="F12" i="44"/>
  <c r="G12" i="44"/>
  <c r="H12" i="44"/>
  <c r="I12" i="44"/>
  <c r="J12" i="44"/>
  <c r="K12" i="44"/>
  <c r="L12" i="44"/>
  <c r="M12" i="44"/>
  <c r="N12" i="44"/>
  <c r="O12" i="44"/>
  <c r="P12" i="44"/>
  <c r="Q12" i="44"/>
  <c r="R12" i="44"/>
  <c r="C16" i="44"/>
  <c r="D16" i="44"/>
  <c r="E16" i="44"/>
  <c r="F16" i="44"/>
  <c r="G16" i="44"/>
  <c r="H16" i="44"/>
  <c r="I16" i="44"/>
  <c r="J16" i="44"/>
  <c r="K16" i="44"/>
  <c r="L16" i="44"/>
  <c r="M16" i="44"/>
  <c r="N16" i="44"/>
  <c r="O16" i="44"/>
  <c r="P16" i="44"/>
  <c r="Q16" i="44"/>
  <c r="R16" i="44"/>
  <c r="D17" i="44"/>
  <c r="F17" i="44"/>
  <c r="H17" i="44"/>
  <c r="I17" i="44"/>
  <c r="J17" i="44" s="1"/>
  <c r="L17" i="44"/>
  <c r="N17" i="44"/>
  <c r="P17" i="44"/>
  <c r="Q17" i="44"/>
  <c r="R17" i="44"/>
  <c r="D18" i="44"/>
  <c r="F18" i="44"/>
  <c r="H18" i="44"/>
  <c r="I18" i="44"/>
  <c r="J18" i="44" s="1"/>
  <c r="L18" i="44"/>
  <c r="N18" i="44"/>
  <c r="P18" i="44"/>
  <c r="Q18" i="44"/>
  <c r="R18" i="44"/>
  <c r="D19" i="44"/>
  <c r="F19" i="44"/>
  <c r="H19" i="44"/>
  <c r="I19" i="44"/>
  <c r="J19" i="44" s="1"/>
  <c r="L19" i="44"/>
  <c r="N19" i="44"/>
  <c r="P19" i="44"/>
  <c r="Q19" i="44"/>
  <c r="R19" i="44"/>
  <c r="D20" i="44"/>
  <c r="F20" i="44"/>
  <c r="H20" i="44"/>
  <c r="I20" i="44"/>
  <c r="J20" i="44" s="1"/>
  <c r="L20" i="44"/>
  <c r="N20" i="44"/>
  <c r="P20" i="44"/>
  <c r="Q20" i="44"/>
  <c r="R20" i="44"/>
  <c r="D21" i="44"/>
  <c r="F21" i="44"/>
  <c r="H21" i="44"/>
  <c r="I21" i="44"/>
  <c r="J21" i="44" s="1"/>
  <c r="L21" i="44"/>
  <c r="N21" i="44"/>
  <c r="P21" i="44"/>
  <c r="Q21" i="44"/>
  <c r="R21" i="44"/>
  <c r="B22" i="44"/>
  <c r="C22" i="44"/>
  <c r="D22" i="44" s="1"/>
  <c r="E22" i="44"/>
  <c r="F22" i="44" s="1"/>
  <c r="G22" i="44"/>
  <c r="H22" i="44" s="1"/>
  <c r="I22" i="44"/>
  <c r="J22" i="44" s="1"/>
  <c r="K22" i="44"/>
  <c r="L22" i="44" s="1"/>
  <c r="M22" i="44"/>
  <c r="N22" i="44" s="1"/>
  <c r="O22" i="44"/>
  <c r="P22" i="44" s="1"/>
  <c r="Q22" i="44"/>
  <c r="R22" i="44" s="1"/>
  <c r="B26" i="44"/>
  <c r="C26" i="44"/>
  <c r="D26" i="44"/>
  <c r="E26" i="44"/>
  <c r="F26" i="44"/>
  <c r="G26" i="44"/>
  <c r="H26" i="44"/>
  <c r="I26" i="44"/>
  <c r="J26" i="44"/>
  <c r="K26" i="44"/>
  <c r="L26" i="44"/>
  <c r="M26" i="44"/>
  <c r="N26" i="44"/>
  <c r="O26" i="44"/>
  <c r="P26" i="44"/>
  <c r="Q26" i="44"/>
  <c r="R26" i="44"/>
  <c r="F27" i="44"/>
  <c r="I27" i="44"/>
  <c r="J27" i="44" s="1"/>
  <c r="L27" i="44"/>
  <c r="P27" i="44"/>
  <c r="Q27" i="44"/>
  <c r="R27" i="44"/>
  <c r="F28" i="44"/>
  <c r="I28" i="44"/>
  <c r="J28" i="44" s="1"/>
  <c r="L28" i="44"/>
  <c r="P28" i="44"/>
  <c r="Q28" i="44"/>
  <c r="R28" i="44"/>
  <c r="F29" i="44"/>
  <c r="I29" i="44"/>
  <c r="J29" i="44" s="1"/>
  <c r="L29" i="44"/>
  <c r="P29" i="44"/>
  <c r="Q29" i="44"/>
  <c r="R29" i="44"/>
  <c r="F30" i="44"/>
  <c r="I30" i="44"/>
  <c r="J30" i="44" s="1"/>
  <c r="L30" i="44"/>
  <c r="P30" i="44"/>
  <c r="Q30" i="44"/>
  <c r="R30" i="44"/>
  <c r="F31" i="44"/>
  <c r="H31" i="44"/>
  <c r="I31" i="44"/>
  <c r="J31" i="44" s="1"/>
  <c r="L31" i="44"/>
  <c r="N31" i="44"/>
  <c r="P31" i="44"/>
  <c r="Q31" i="44"/>
  <c r="R31" i="44"/>
  <c r="D32" i="44"/>
  <c r="D27" i="44" s="1"/>
  <c r="F32" i="44"/>
  <c r="H32" i="44"/>
  <c r="I32" i="44"/>
  <c r="J32" i="44" s="1"/>
  <c r="L32" i="44"/>
  <c r="N32" i="44"/>
  <c r="P32" i="44"/>
  <c r="Q32" i="44"/>
  <c r="R32" i="44"/>
  <c r="D33" i="44"/>
  <c r="F33" i="44"/>
  <c r="H34" i="44" s="1"/>
  <c r="H33" i="44"/>
  <c r="I33" i="44"/>
  <c r="J33" i="44" s="1"/>
  <c r="L33" i="44"/>
  <c r="N33" i="44"/>
  <c r="P33" i="44"/>
  <c r="Q33" i="44"/>
  <c r="R33" i="44"/>
  <c r="D34" i="44"/>
  <c r="F34" i="44"/>
  <c r="I34" i="44"/>
  <c r="J34" i="44" s="1"/>
  <c r="L34" i="44"/>
  <c r="P34" i="44"/>
  <c r="Q34" i="44"/>
  <c r="R34" i="44"/>
  <c r="D35" i="44"/>
  <c r="F35" i="44"/>
  <c r="I35" i="44"/>
  <c r="J35" i="44" s="1"/>
  <c r="L35" i="44"/>
  <c r="P35" i="44"/>
  <c r="Q35" i="44"/>
  <c r="R35" i="44"/>
  <c r="B36" i="44"/>
  <c r="C36" i="44"/>
  <c r="D36" i="44" s="1"/>
  <c r="E36" i="44"/>
  <c r="F36" i="44" s="1"/>
  <c r="G36" i="44"/>
  <c r="H36" i="44" s="1"/>
  <c r="I36" i="44"/>
  <c r="J36" i="44" s="1"/>
  <c r="K36" i="44"/>
  <c r="L36" i="44" s="1"/>
  <c r="M36" i="44"/>
  <c r="N36" i="44" s="1"/>
  <c r="O36" i="44"/>
  <c r="P36" i="44" s="1"/>
  <c r="Q36" i="44"/>
  <c r="R36" i="44" s="1"/>
  <c r="D7" i="43"/>
  <c r="F7" i="43"/>
  <c r="H7" i="43"/>
  <c r="I7" i="43"/>
  <c r="J7" i="43" s="1"/>
  <c r="L7" i="43"/>
  <c r="N7" i="43"/>
  <c r="P7" i="43"/>
  <c r="Q7" i="43"/>
  <c r="R7" i="43"/>
  <c r="D8" i="43"/>
  <c r="F8" i="43"/>
  <c r="H8" i="43"/>
  <c r="I8" i="43"/>
  <c r="J8" i="43" s="1"/>
  <c r="L8" i="43"/>
  <c r="N8" i="43"/>
  <c r="P8" i="43"/>
  <c r="Q8" i="43"/>
  <c r="R8" i="43"/>
  <c r="D9" i="43"/>
  <c r="F9" i="43"/>
  <c r="H9" i="43"/>
  <c r="I9" i="43"/>
  <c r="J9" i="43" s="1"/>
  <c r="L9" i="43"/>
  <c r="N9" i="43"/>
  <c r="P9" i="43"/>
  <c r="Q9" i="43"/>
  <c r="R9" i="43"/>
  <c r="D10" i="43"/>
  <c r="F10" i="43"/>
  <c r="H10" i="43"/>
  <c r="I10" i="43"/>
  <c r="J10" i="43" s="1"/>
  <c r="L10" i="43"/>
  <c r="N10" i="43"/>
  <c r="P10" i="43"/>
  <c r="Q10" i="43"/>
  <c r="R10" i="43"/>
  <c r="D11" i="43"/>
  <c r="F11" i="43"/>
  <c r="H11" i="43"/>
  <c r="I11" i="43"/>
  <c r="J11" i="43" s="1"/>
  <c r="L11" i="43"/>
  <c r="N11" i="43"/>
  <c r="P11" i="43"/>
  <c r="Q11" i="43"/>
  <c r="R11" i="43"/>
  <c r="D12" i="43"/>
  <c r="F12" i="43"/>
  <c r="H12" i="43"/>
  <c r="I12" i="43"/>
  <c r="J12" i="43" s="1"/>
  <c r="L12" i="43"/>
  <c r="N12" i="43"/>
  <c r="P12" i="43"/>
  <c r="Q12" i="43"/>
  <c r="R12" i="43"/>
  <c r="D13" i="43"/>
  <c r="F13" i="43"/>
  <c r="H13" i="43"/>
  <c r="I13" i="43"/>
  <c r="J13" i="43" s="1"/>
  <c r="L13" i="43"/>
  <c r="N13" i="43"/>
  <c r="P13" i="43"/>
  <c r="Q13" i="43"/>
  <c r="R13" i="43"/>
  <c r="D14" i="43"/>
  <c r="F14" i="43"/>
  <c r="H14" i="43"/>
  <c r="I14" i="43"/>
  <c r="J14" i="43" s="1"/>
  <c r="L14" i="43"/>
  <c r="N14" i="43"/>
  <c r="P14" i="43"/>
  <c r="Q14" i="43"/>
  <c r="R14" i="43"/>
  <c r="B15" i="43"/>
  <c r="C15" i="43"/>
  <c r="D15" i="43" s="1"/>
  <c r="E15" i="43"/>
  <c r="F15" i="43" s="1"/>
  <c r="G15" i="43"/>
  <c r="H15" i="43" s="1"/>
  <c r="I15" i="43"/>
  <c r="J15" i="43" s="1"/>
  <c r="K15" i="43"/>
  <c r="L15" i="43" s="1"/>
  <c r="M15" i="43"/>
  <c r="N15" i="43" s="1"/>
  <c r="O15" i="43"/>
  <c r="P15" i="43" s="1"/>
  <c r="Q15" i="43"/>
  <c r="R15" i="43" s="1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D20" i="43"/>
  <c r="F20" i="43"/>
  <c r="H20" i="43"/>
  <c r="I20" i="43"/>
  <c r="J20" i="43"/>
  <c r="L20" i="43"/>
  <c r="N20" i="43"/>
  <c r="P20" i="43"/>
  <c r="Q20" i="43"/>
  <c r="R20" i="43" s="1"/>
  <c r="D21" i="43"/>
  <c r="F21" i="43"/>
  <c r="H21" i="43"/>
  <c r="I21" i="43"/>
  <c r="J21" i="43"/>
  <c r="L21" i="43"/>
  <c r="N21" i="43"/>
  <c r="P21" i="43"/>
  <c r="Q21" i="43"/>
  <c r="R21" i="43" s="1"/>
  <c r="D22" i="43"/>
  <c r="F22" i="43"/>
  <c r="H22" i="43"/>
  <c r="I22" i="43"/>
  <c r="J22" i="43"/>
  <c r="L22" i="43"/>
  <c r="N22" i="43"/>
  <c r="P22" i="43"/>
  <c r="Q22" i="43"/>
  <c r="R22" i="43" s="1"/>
  <c r="D23" i="43"/>
  <c r="F23" i="43"/>
  <c r="H23" i="43"/>
  <c r="I23" i="43"/>
  <c r="J23" i="43"/>
  <c r="L23" i="43"/>
  <c r="N23" i="43"/>
  <c r="P23" i="43"/>
  <c r="Q23" i="43"/>
  <c r="R23" i="43" s="1"/>
  <c r="D24" i="43"/>
  <c r="F24" i="43"/>
  <c r="H24" i="43"/>
  <c r="I24" i="43"/>
  <c r="J24" i="43"/>
  <c r="L24" i="43"/>
  <c r="N24" i="43"/>
  <c r="P24" i="43"/>
  <c r="Q24" i="43"/>
  <c r="R24" i="43" s="1"/>
  <c r="D25" i="43"/>
  <c r="F25" i="43"/>
  <c r="H25" i="43"/>
  <c r="I25" i="43"/>
  <c r="J25" i="43"/>
  <c r="L25" i="43"/>
  <c r="N25" i="43"/>
  <c r="P25" i="43"/>
  <c r="Q25" i="43"/>
  <c r="R25" i="43" s="1"/>
  <c r="D26" i="43"/>
  <c r="F26" i="43"/>
  <c r="H26" i="43"/>
  <c r="I26" i="43"/>
  <c r="J26" i="43"/>
  <c r="L26" i="43"/>
  <c r="N26" i="43"/>
  <c r="P26" i="43"/>
  <c r="Q26" i="43"/>
  <c r="R26" i="43" s="1"/>
  <c r="D27" i="43"/>
  <c r="F27" i="43"/>
  <c r="H27" i="43"/>
  <c r="J27" i="43"/>
  <c r="L27" i="43"/>
  <c r="N27" i="43"/>
  <c r="P27" i="43"/>
  <c r="Q27" i="43"/>
  <c r="R27" i="43"/>
  <c r="D28" i="43"/>
  <c r="F28" i="43"/>
  <c r="H28" i="43"/>
  <c r="J28" i="43"/>
  <c r="L28" i="43"/>
  <c r="N28" i="43"/>
  <c r="P28" i="43"/>
  <c r="Q28" i="43"/>
  <c r="R28" i="43" s="1"/>
  <c r="D29" i="43"/>
  <c r="F29" i="43"/>
  <c r="H29" i="43"/>
  <c r="J29" i="43"/>
  <c r="L29" i="43"/>
  <c r="N29" i="43"/>
  <c r="P29" i="43"/>
  <c r="Q29" i="43"/>
  <c r="R29" i="43"/>
  <c r="D30" i="43"/>
  <c r="F30" i="43"/>
  <c r="H30" i="43"/>
  <c r="J30" i="43"/>
  <c r="L30" i="43"/>
  <c r="N30" i="43"/>
  <c r="P30" i="43"/>
  <c r="Q30" i="43"/>
  <c r="R30" i="43" s="1"/>
  <c r="B31" i="43"/>
  <c r="D31" i="43" s="1"/>
  <c r="E31" i="43"/>
  <c r="F31" i="43" s="1"/>
  <c r="G31" i="43"/>
  <c r="H31" i="43" s="1"/>
  <c r="I31" i="43"/>
  <c r="J31" i="43" s="1"/>
  <c r="K31" i="43"/>
  <c r="L31" i="43" s="1"/>
  <c r="M31" i="43"/>
  <c r="N31" i="43" s="1"/>
  <c r="O31" i="43"/>
  <c r="P31" i="43" s="1"/>
  <c r="Q31" i="43"/>
  <c r="R31" i="43" s="1"/>
  <c r="R42" i="51" l="1"/>
  <c r="P42" i="51"/>
  <c r="N42" i="51"/>
  <c r="L42" i="51"/>
  <c r="J42" i="51"/>
  <c r="H42" i="51"/>
  <c r="F42" i="51"/>
  <c r="D42" i="51"/>
  <c r="D43" i="45"/>
  <c r="D42" i="45"/>
  <c r="D41" i="45"/>
  <c r="D40" i="45"/>
  <c r="N39" i="45"/>
  <c r="H39" i="45"/>
  <c r="D39" i="45"/>
  <c r="N38" i="45"/>
  <c r="H38" i="45"/>
  <c r="D38" i="45"/>
  <c r="N37" i="45"/>
  <c r="H37" i="45"/>
  <c r="D37" i="45"/>
  <c r="N36" i="45"/>
  <c r="H36" i="45"/>
  <c r="N35" i="44"/>
  <c r="H35" i="44"/>
  <c r="N34" i="44"/>
  <c r="D31" i="44"/>
  <c r="N30" i="44"/>
  <c r="H30" i="44"/>
  <c r="D30" i="44"/>
  <c r="N29" i="44"/>
  <c r="H29" i="44"/>
  <c r="D29" i="44"/>
  <c r="N28" i="44"/>
  <c r="H28" i="44"/>
  <c r="D28" i="44"/>
  <c r="N27" i="44"/>
  <c r="H27" i="44"/>
  <c r="O36" i="2" l="1"/>
  <c r="M36" i="2" l="1"/>
  <c r="K36" i="2" l="1"/>
  <c r="K28" i="4"/>
  <c r="G36" i="2" l="1"/>
  <c r="E36" i="2" l="1"/>
  <c r="D22" i="4" l="1"/>
  <c r="C36" i="2" l="1"/>
  <c r="A45" i="42" l="1"/>
  <c r="O44" i="42"/>
  <c r="M44" i="42"/>
  <c r="K44" i="42"/>
  <c r="G44" i="42"/>
  <c r="E44" i="42"/>
  <c r="C44" i="42"/>
  <c r="B44" i="42"/>
  <c r="A44" i="42"/>
  <c r="O43" i="42"/>
  <c r="M43" i="42"/>
  <c r="K43" i="42"/>
  <c r="G43" i="42"/>
  <c r="E43" i="42"/>
  <c r="C43" i="42"/>
  <c r="B43" i="42"/>
  <c r="A43" i="42"/>
  <c r="O42" i="42"/>
  <c r="M42" i="42"/>
  <c r="K42" i="42"/>
  <c r="G42" i="42"/>
  <c r="E42" i="42"/>
  <c r="C42" i="42"/>
  <c r="B42" i="42"/>
  <c r="A42" i="42"/>
  <c r="A38" i="42"/>
  <c r="O37" i="42"/>
  <c r="M37" i="42"/>
  <c r="K37" i="42"/>
  <c r="G37" i="42"/>
  <c r="E37" i="42"/>
  <c r="C37" i="42"/>
  <c r="B37" i="42"/>
  <c r="A37" i="42"/>
  <c r="O36" i="42"/>
  <c r="M36" i="42"/>
  <c r="K36" i="42"/>
  <c r="G36" i="42"/>
  <c r="E36" i="42"/>
  <c r="C36" i="42"/>
  <c r="B36" i="42"/>
  <c r="A36" i="42"/>
  <c r="O35" i="42"/>
  <c r="M35" i="42"/>
  <c r="K35" i="42"/>
  <c r="G35" i="42"/>
  <c r="E35" i="42"/>
  <c r="C35" i="42"/>
  <c r="B35" i="42"/>
  <c r="A35" i="42"/>
  <c r="O34" i="42"/>
  <c r="M34" i="42"/>
  <c r="K34" i="42"/>
  <c r="G34" i="42"/>
  <c r="E34" i="42"/>
  <c r="C34" i="42"/>
  <c r="B34" i="42"/>
  <c r="A34" i="42"/>
  <c r="O33" i="42"/>
  <c r="M33" i="42"/>
  <c r="K33" i="42"/>
  <c r="G33" i="42"/>
  <c r="E33" i="42"/>
  <c r="C33" i="42"/>
  <c r="B33" i="42"/>
  <c r="A33" i="42"/>
  <c r="A29" i="42"/>
  <c r="O28" i="42"/>
  <c r="M28" i="42"/>
  <c r="K28" i="42"/>
  <c r="G28" i="42"/>
  <c r="E28" i="42"/>
  <c r="C28" i="42"/>
  <c r="B28" i="42"/>
  <c r="A28" i="42"/>
  <c r="O27" i="42"/>
  <c r="M27" i="42"/>
  <c r="K27" i="42"/>
  <c r="G27" i="42"/>
  <c r="E27" i="42"/>
  <c r="C27" i="42"/>
  <c r="B27" i="42"/>
  <c r="A27" i="42"/>
  <c r="O26" i="42"/>
  <c r="M26" i="42"/>
  <c r="K26" i="42"/>
  <c r="G26" i="42"/>
  <c r="E26" i="42"/>
  <c r="C26" i="42"/>
  <c r="B26" i="42"/>
  <c r="A26" i="42"/>
  <c r="O25" i="42"/>
  <c r="M25" i="42"/>
  <c r="K25" i="42"/>
  <c r="G25" i="42"/>
  <c r="E25" i="42"/>
  <c r="C25" i="42"/>
  <c r="B25" i="42"/>
  <c r="A25" i="42"/>
  <c r="O24" i="42"/>
  <c r="M24" i="42"/>
  <c r="K24" i="42"/>
  <c r="G24" i="42"/>
  <c r="E24" i="42"/>
  <c r="C24" i="42"/>
  <c r="B24" i="42"/>
  <c r="A24" i="42"/>
  <c r="O23" i="42"/>
  <c r="M23" i="42"/>
  <c r="K23" i="42"/>
  <c r="G23" i="42"/>
  <c r="E23" i="42"/>
  <c r="C23" i="42"/>
  <c r="B23" i="42"/>
  <c r="A23" i="42"/>
  <c r="O22" i="42"/>
  <c r="M22" i="42"/>
  <c r="K22" i="42"/>
  <c r="G22" i="42"/>
  <c r="E22" i="42"/>
  <c r="C22" i="42"/>
  <c r="B22" i="42"/>
  <c r="A22" i="42"/>
  <c r="O21" i="42"/>
  <c r="M21" i="42"/>
  <c r="K21" i="42"/>
  <c r="G21" i="42"/>
  <c r="E21" i="42"/>
  <c r="C21" i="42"/>
  <c r="B21" i="42"/>
  <c r="A21" i="42"/>
  <c r="O20" i="42"/>
  <c r="M20" i="42"/>
  <c r="K20" i="42"/>
  <c r="G20" i="42"/>
  <c r="E20" i="42"/>
  <c r="C20" i="42"/>
  <c r="B20" i="42"/>
  <c r="A20" i="42"/>
  <c r="A16" i="42"/>
  <c r="O15" i="42"/>
  <c r="M15" i="42"/>
  <c r="K15" i="42"/>
  <c r="G15" i="42"/>
  <c r="E15" i="42"/>
  <c r="C15" i="42"/>
  <c r="B15" i="42"/>
  <c r="A15" i="42"/>
  <c r="O14" i="42"/>
  <c r="M14" i="42"/>
  <c r="K14" i="42"/>
  <c r="G14" i="42"/>
  <c r="E14" i="42"/>
  <c r="C14" i="42"/>
  <c r="B14" i="42"/>
  <c r="A14" i="42"/>
  <c r="O13" i="42"/>
  <c r="M13" i="42"/>
  <c r="K13" i="42"/>
  <c r="G13" i="42"/>
  <c r="E13" i="42"/>
  <c r="C13" i="42"/>
  <c r="B13" i="42"/>
  <c r="A13" i="42"/>
  <c r="O12" i="42"/>
  <c r="M12" i="42"/>
  <c r="K12" i="42"/>
  <c r="G12" i="42"/>
  <c r="E12" i="42"/>
  <c r="C12" i="42"/>
  <c r="B12" i="42"/>
  <c r="A12" i="42"/>
  <c r="O11" i="42"/>
  <c r="M11" i="42"/>
  <c r="K11" i="42"/>
  <c r="G11" i="42"/>
  <c r="E11" i="42"/>
  <c r="C11" i="42"/>
  <c r="B11" i="42"/>
  <c r="A11" i="42"/>
  <c r="O10" i="42"/>
  <c r="M10" i="42"/>
  <c r="K10" i="42"/>
  <c r="G10" i="42"/>
  <c r="E10" i="42"/>
  <c r="C10" i="42"/>
  <c r="B10" i="42"/>
  <c r="A10" i="42"/>
  <c r="O9" i="42"/>
  <c r="M9" i="42"/>
  <c r="K9" i="42"/>
  <c r="G9" i="42"/>
  <c r="E9" i="42"/>
  <c r="C9" i="42"/>
  <c r="B9" i="42"/>
  <c r="A9" i="42"/>
  <c r="O8" i="42"/>
  <c r="M8" i="42"/>
  <c r="K8" i="42"/>
  <c r="G8" i="42"/>
  <c r="E8" i="42"/>
  <c r="C8" i="42"/>
  <c r="B8" i="42"/>
  <c r="A8" i="42"/>
  <c r="A170" i="42"/>
  <c r="B170" i="42"/>
  <c r="C170" i="42"/>
  <c r="E170" i="42"/>
  <c r="G170" i="42"/>
  <c r="K170" i="42"/>
  <c r="M170" i="42"/>
  <c r="O170" i="42"/>
  <c r="A171" i="42"/>
  <c r="B171" i="42"/>
  <c r="C171" i="42"/>
  <c r="E171" i="42"/>
  <c r="G171" i="42"/>
  <c r="K171" i="42"/>
  <c r="M171" i="42"/>
  <c r="O171" i="42"/>
  <c r="A172" i="42"/>
  <c r="B172" i="42"/>
  <c r="C172" i="42"/>
  <c r="E172" i="42"/>
  <c r="G172" i="42"/>
  <c r="K172" i="42"/>
  <c r="M172" i="42"/>
  <c r="O172" i="42"/>
  <c r="A173" i="42"/>
  <c r="B173" i="42"/>
  <c r="C173" i="42"/>
  <c r="E173" i="42"/>
  <c r="G173" i="42"/>
  <c r="K173" i="42"/>
  <c r="M173" i="42"/>
  <c r="O173" i="42"/>
  <c r="A174" i="42"/>
  <c r="B174" i="42"/>
  <c r="C174" i="42"/>
  <c r="E174" i="42"/>
  <c r="G174" i="42"/>
  <c r="K174" i="42"/>
  <c r="M174" i="42"/>
  <c r="O174" i="42"/>
  <c r="A175" i="42"/>
  <c r="B175" i="42"/>
  <c r="C175" i="42"/>
  <c r="E175" i="42"/>
  <c r="G175" i="42"/>
  <c r="K175" i="42"/>
  <c r="M175" i="42"/>
  <c r="O175" i="42"/>
  <c r="A176" i="42"/>
  <c r="B176" i="42"/>
  <c r="C176" i="42"/>
  <c r="E176" i="42"/>
  <c r="G176" i="42"/>
  <c r="K176" i="42"/>
  <c r="M176" i="42"/>
  <c r="O176" i="42"/>
  <c r="A177" i="42"/>
  <c r="B177" i="42"/>
  <c r="C177" i="42"/>
  <c r="E177" i="42"/>
  <c r="G177" i="42"/>
  <c r="K177" i="42"/>
  <c r="M177" i="42"/>
  <c r="O177" i="42"/>
  <c r="A178" i="42"/>
  <c r="B178" i="42"/>
  <c r="C178" i="42"/>
  <c r="E178" i="42"/>
  <c r="G178" i="42"/>
  <c r="K178" i="42"/>
  <c r="M178" i="42"/>
  <c r="O178" i="42"/>
  <c r="A179" i="42"/>
  <c r="B179" i="42"/>
  <c r="C179" i="42"/>
  <c r="E179" i="42"/>
  <c r="G179" i="42"/>
  <c r="K179" i="42"/>
  <c r="M179" i="42"/>
  <c r="O179" i="42"/>
  <c r="A180" i="42"/>
  <c r="B180" i="42"/>
  <c r="C180" i="42"/>
  <c r="E180" i="42"/>
  <c r="G180" i="42"/>
  <c r="K180" i="42"/>
  <c r="M180" i="42"/>
  <c r="O180" i="42"/>
  <c r="A181" i="42"/>
  <c r="A104" i="42"/>
  <c r="B104" i="42"/>
  <c r="C104" i="42"/>
  <c r="E104" i="42"/>
  <c r="G104" i="42"/>
  <c r="K104" i="42"/>
  <c r="M104" i="42"/>
  <c r="O104" i="42"/>
  <c r="A105" i="42"/>
  <c r="B105" i="42"/>
  <c r="C105" i="42"/>
  <c r="E105" i="42"/>
  <c r="G105" i="42"/>
  <c r="K105" i="42"/>
  <c r="M105" i="42"/>
  <c r="O105" i="42"/>
  <c r="A106" i="42"/>
  <c r="C35" i="6"/>
  <c r="C106" i="42" s="1"/>
  <c r="B35" i="39"/>
  <c r="O35" i="39"/>
  <c r="O181" i="42" s="1"/>
  <c r="M35" i="39"/>
  <c r="M181" i="42" s="1"/>
  <c r="K35" i="39"/>
  <c r="G35" i="39"/>
  <c r="G181" i="42" s="1"/>
  <c r="E35" i="39"/>
  <c r="E181" i="42" s="1"/>
  <c r="C35" i="39"/>
  <c r="C181" i="42" s="1"/>
  <c r="Q34" i="39"/>
  <c r="P34" i="39"/>
  <c r="P180" i="42" s="1"/>
  <c r="N34" i="39"/>
  <c r="N180" i="42" s="1"/>
  <c r="L34" i="39"/>
  <c r="L180" i="42" s="1"/>
  <c r="I34" i="39"/>
  <c r="H34" i="39"/>
  <c r="H180" i="42" s="1"/>
  <c r="F34" i="39"/>
  <c r="F180" i="42" s="1"/>
  <c r="D34" i="39"/>
  <c r="D180" i="42" s="1"/>
  <c r="Q33" i="39"/>
  <c r="P33" i="39"/>
  <c r="P179" i="42" s="1"/>
  <c r="N33" i="39"/>
  <c r="N179" i="42" s="1"/>
  <c r="L33" i="39"/>
  <c r="L179" i="42" s="1"/>
  <c r="I33" i="39"/>
  <c r="H33" i="39"/>
  <c r="H179" i="42" s="1"/>
  <c r="F33" i="39"/>
  <c r="F179" i="42" s="1"/>
  <c r="D33" i="39"/>
  <c r="D179" i="42" s="1"/>
  <c r="Q32" i="39"/>
  <c r="P32" i="39"/>
  <c r="P178" i="42" s="1"/>
  <c r="N32" i="39"/>
  <c r="N178" i="42" s="1"/>
  <c r="L32" i="39"/>
  <c r="L178" i="42" s="1"/>
  <c r="I32" i="39"/>
  <c r="H32" i="39"/>
  <c r="H178" i="42" s="1"/>
  <c r="F32" i="39"/>
  <c r="F178" i="42" s="1"/>
  <c r="D32" i="39"/>
  <c r="D178" i="42" s="1"/>
  <c r="Q31" i="39"/>
  <c r="P31" i="39"/>
  <c r="P177" i="42" s="1"/>
  <c r="N31" i="39"/>
  <c r="N177" i="42" s="1"/>
  <c r="L31" i="39"/>
  <c r="L177" i="42" s="1"/>
  <c r="I31" i="39"/>
  <c r="I177" i="42" s="1"/>
  <c r="H31" i="39"/>
  <c r="H177" i="42" s="1"/>
  <c r="F31" i="39"/>
  <c r="F177" i="42" s="1"/>
  <c r="D31" i="39"/>
  <c r="D177" i="42" s="1"/>
  <c r="Q30" i="39"/>
  <c r="R30" i="39" s="1"/>
  <c r="R176" i="42" s="1"/>
  <c r="P30" i="39"/>
  <c r="P176" i="42" s="1"/>
  <c r="N30" i="39"/>
  <c r="N176" i="42" s="1"/>
  <c r="L30" i="39"/>
  <c r="L176" i="42" s="1"/>
  <c r="I30" i="39"/>
  <c r="J30" i="39" s="1"/>
  <c r="J176" i="42" s="1"/>
  <c r="H30" i="39"/>
  <c r="H176" i="42" s="1"/>
  <c r="F30" i="39"/>
  <c r="F176" i="42" s="1"/>
  <c r="D30" i="39"/>
  <c r="D176" i="42" s="1"/>
  <c r="Q29" i="39"/>
  <c r="R29" i="39" s="1"/>
  <c r="R175" i="42" s="1"/>
  <c r="P29" i="39"/>
  <c r="P175" i="42" s="1"/>
  <c r="N29" i="39"/>
  <c r="N175" i="42" s="1"/>
  <c r="L29" i="39"/>
  <c r="L175" i="42" s="1"/>
  <c r="I29" i="39"/>
  <c r="H29" i="39"/>
  <c r="H175" i="42" s="1"/>
  <c r="F29" i="39"/>
  <c r="F175" i="42" s="1"/>
  <c r="D29" i="39"/>
  <c r="D175" i="42" s="1"/>
  <c r="Q28" i="39"/>
  <c r="P28" i="39"/>
  <c r="P174" i="42" s="1"/>
  <c r="N28" i="39"/>
  <c r="N174" i="42" s="1"/>
  <c r="L28" i="39"/>
  <c r="L174" i="42" s="1"/>
  <c r="I28" i="39"/>
  <c r="H28" i="39"/>
  <c r="H174" i="42" s="1"/>
  <c r="F28" i="39"/>
  <c r="F174" i="42" s="1"/>
  <c r="D28" i="39"/>
  <c r="D174" i="42" s="1"/>
  <c r="Q27" i="39"/>
  <c r="P27" i="39"/>
  <c r="P173" i="42" s="1"/>
  <c r="N27" i="39"/>
  <c r="N173" i="42" s="1"/>
  <c r="L27" i="39"/>
  <c r="L173" i="42" s="1"/>
  <c r="I27" i="39"/>
  <c r="I173" i="42" s="1"/>
  <c r="H27" i="39"/>
  <c r="H173" i="42" s="1"/>
  <c r="F27" i="39"/>
  <c r="F173" i="42" s="1"/>
  <c r="D27" i="39"/>
  <c r="D173" i="42" s="1"/>
  <c r="Q26" i="39"/>
  <c r="P26" i="39"/>
  <c r="P172" i="42" s="1"/>
  <c r="N26" i="39"/>
  <c r="N172" i="42" s="1"/>
  <c r="L26" i="39"/>
  <c r="L172" i="42" s="1"/>
  <c r="I26" i="39"/>
  <c r="H26" i="39"/>
  <c r="H172" i="42" s="1"/>
  <c r="F26" i="39"/>
  <c r="F172" i="42" s="1"/>
  <c r="D26" i="39"/>
  <c r="D172" i="42" s="1"/>
  <c r="Q25" i="39"/>
  <c r="P25" i="39"/>
  <c r="P171" i="42" s="1"/>
  <c r="N25" i="39"/>
  <c r="N171" i="42" s="1"/>
  <c r="L25" i="39"/>
  <c r="L171" i="42" s="1"/>
  <c r="I25" i="39"/>
  <c r="I171" i="42" s="1"/>
  <c r="H25" i="39"/>
  <c r="H171" i="42" s="1"/>
  <c r="F25" i="39"/>
  <c r="F171" i="42" s="1"/>
  <c r="D25" i="39"/>
  <c r="D171" i="42" s="1"/>
  <c r="Q24" i="39"/>
  <c r="P24" i="39"/>
  <c r="P170" i="42" s="1"/>
  <c r="N24" i="39"/>
  <c r="N170" i="42" s="1"/>
  <c r="L24" i="39"/>
  <c r="L170" i="42" s="1"/>
  <c r="I24" i="39"/>
  <c r="H24" i="39"/>
  <c r="H170" i="42" s="1"/>
  <c r="F24" i="39"/>
  <c r="F170" i="42" s="1"/>
  <c r="D24" i="39"/>
  <c r="D170" i="42" s="1"/>
  <c r="Q35" i="39" l="1"/>
  <c r="Q181" i="42" s="1"/>
  <c r="J25" i="39"/>
  <c r="J171" i="42" s="1"/>
  <c r="J31" i="39"/>
  <c r="J177" i="42" s="1"/>
  <c r="R31" i="39"/>
  <c r="R177" i="42" s="1"/>
  <c r="Q177" i="42"/>
  <c r="J32" i="39"/>
  <c r="J178" i="42" s="1"/>
  <c r="I178" i="42"/>
  <c r="R32" i="39"/>
  <c r="R178" i="42" s="1"/>
  <c r="Q178" i="42"/>
  <c r="J33" i="39"/>
  <c r="J179" i="42" s="1"/>
  <c r="I179" i="42"/>
  <c r="R33" i="39"/>
  <c r="R179" i="42" s="1"/>
  <c r="Q179" i="42"/>
  <c r="J34" i="39"/>
  <c r="J180" i="42" s="1"/>
  <c r="I180" i="42"/>
  <c r="R34" i="39"/>
  <c r="R180" i="42" s="1"/>
  <c r="Q180" i="42"/>
  <c r="R25" i="39"/>
  <c r="R171" i="42" s="1"/>
  <c r="Q171" i="42"/>
  <c r="J26" i="39"/>
  <c r="J172" i="42" s="1"/>
  <c r="I172" i="42"/>
  <c r="R26" i="39"/>
  <c r="R172" i="42" s="1"/>
  <c r="Q172" i="42"/>
  <c r="J24" i="39"/>
  <c r="J170" i="42" s="1"/>
  <c r="I170" i="42"/>
  <c r="R24" i="39"/>
  <c r="R170" i="42" s="1"/>
  <c r="Q170" i="42"/>
  <c r="J27" i="39"/>
  <c r="J173" i="42" s="1"/>
  <c r="R27" i="39"/>
  <c r="R173" i="42" s="1"/>
  <c r="Q173" i="42"/>
  <c r="J28" i="39"/>
  <c r="J174" i="42" s="1"/>
  <c r="I174" i="42"/>
  <c r="R28" i="39"/>
  <c r="R174" i="42" s="1"/>
  <c r="Q174" i="42"/>
  <c r="I175" i="42"/>
  <c r="J29" i="39"/>
  <c r="J175" i="42" s="1"/>
  <c r="K181" i="42"/>
  <c r="Q176" i="42"/>
  <c r="M197" i="42"/>
  <c r="I197" i="42"/>
  <c r="E197" i="42"/>
  <c r="B197" i="42"/>
  <c r="P35" i="39"/>
  <c r="P181" i="42" s="1"/>
  <c r="B181" i="42"/>
  <c r="I176" i="42"/>
  <c r="Q175" i="42"/>
  <c r="K197" i="42"/>
  <c r="G197" i="42"/>
  <c r="C197" i="42"/>
  <c r="I35" i="39"/>
  <c r="D35" i="39"/>
  <c r="D181" i="42" s="1"/>
  <c r="F35" i="39"/>
  <c r="F181" i="42" s="1"/>
  <c r="H35" i="39"/>
  <c r="H181" i="42" s="1"/>
  <c r="L35" i="39"/>
  <c r="L181" i="42" s="1"/>
  <c r="N35" i="39"/>
  <c r="N181" i="42" s="1"/>
  <c r="R35" i="39" l="1"/>
  <c r="R181" i="42" s="1"/>
  <c r="J35" i="39"/>
  <c r="J181" i="42" s="1"/>
  <c r="I181" i="42"/>
  <c r="C198" i="42"/>
  <c r="O197" i="42"/>
  <c r="D197" i="42"/>
  <c r="K198" i="42"/>
  <c r="L197" i="42"/>
  <c r="E198" i="42"/>
  <c r="F197" i="42"/>
  <c r="N197" i="42"/>
  <c r="M198" i="42"/>
  <c r="H197" i="42"/>
  <c r="G198" i="42"/>
  <c r="J197" i="42"/>
  <c r="I198" i="42"/>
  <c r="B198" i="42"/>
  <c r="F198" i="42" l="1"/>
  <c r="L198" i="42"/>
  <c r="P197" i="42"/>
  <c r="O198" i="42"/>
  <c r="P198" i="42" s="1"/>
  <c r="J198" i="42"/>
  <c r="H198" i="42"/>
  <c r="N198" i="42"/>
  <c r="D198" i="42"/>
  <c r="A165" i="42"/>
  <c r="B165" i="42"/>
  <c r="C165" i="42"/>
  <c r="E165" i="42"/>
  <c r="G165" i="42"/>
  <c r="K165" i="42"/>
  <c r="M165" i="42"/>
  <c r="O165" i="42"/>
  <c r="A166" i="42"/>
  <c r="A153" i="42"/>
  <c r="B153" i="42"/>
  <c r="C153" i="42"/>
  <c r="E153" i="42"/>
  <c r="G153" i="42"/>
  <c r="K153" i="42"/>
  <c r="M153" i="42"/>
  <c r="O153" i="42"/>
  <c r="A154" i="42"/>
  <c r="B154" i="42"/>
  <c r="C154" i="42"/>
  <c r="E154" i="42"/>
  <c r="G154" i="42"/>
  <c r="K154" i="42"/>
  <c r="M154" i="42"/>
  <c r="O154" i="42"/>
  <c r="A155" i="42"/>
  <c r="B155" i="42"/>
  <c r="C155" i="42"/>
  <c r="E155" i="42"/>
  <c r="G155" i="42"/>
  <c r="K155" i="42"/>
  <c r="M155" i="42"/>
  <c r="O155" i="42"/>
  <c r="A156" i="42"/>
  <c r="B156" i="42"/>
  <c r="C156" i="42"/>
  <c r="E156" i="42"/>
  <c r="G156" i="42"/>
  <c r="K156" i="42"/>
  <c r="M156" i="42"/>
  <c r="O156" i="42"/>
  <c r="A157" i="42"/>
  <c r="B157" i="42"/>
  <c r="C157" i="42"/>
  <c r="E157" i="42"/>
  <c r="G157" i="42"/>
  <c r="K157" i="42"/>
  <c r="M157" i="42"/>
  <c r="O157" i="42"/>
  <c r="A158" i="42"/>
  <c r="B158" i="42"/>
  <c r="C158" i="42"/>
  <c r="E158" i="42"/>
  <c r="G158" i="42"/>
  <c r="K158" i="42"/>
  <c r="M158" i="42"/>
  <c r="O158" i="42"/>
  <c r="A159" i="42"/>
  <c r="B159" i="42"/>
  <c r="C159" i="42"/>
  <c r="E159" i="42"/>
  <c r="G159" i="42"/>
  <c r="K159" i="42"/>
  <c r="M159" i="42"/>
  <c r="O159" i="42"/>
  <c r="A160" i="42"/>
  <c r="B160" i="42"/>
  <c r="C160" i="42"/>
  <c r="E160" i="42"/>
  <c r="G160" i="42"/>
  <c r="K160" i="42"/>
  <c r="M160" i="42"/>
  <c r="O160" i="42"/>
  <c r="A161" i="42"/>
  <c r="A144" i="42"/>
  <c r="B144" i="42"/>
  <c r="C144" i="42"/>
  <c r="E144" i="42"/>
  <c r="G144" i="42"/>
  <c r="K144" i="42"/>
  <c r="M144" i="42"/>
  <c r="O144" i="42"/>
  <c r="A145" i="42"/>
  <c r="A146" i="42"/>
  <c r="A147" i="42"/>
  <c r="A148" i="42"/>
  <c r="A149" i="42"/>
  <c r="A137" i="42"/>
  <c r="B137" i="42"/>
  <c r="C137" i="42"/>
  <c r="E137" i="42"/>
  <c r="G137" i="42"/>
  <c r="K137" i="42"/>
  <c r="M137" i="42"/>
  <c r="O137" i="42"/>
  <c r="A138" i="42"/>
  <c r="B138" i="42"/>
  <c r="C138" i="42"/>
  <c r="E138" i="42"/>
  <c r="G138" i="42"/>
  <c r="K138" i="42"/>
  <c r="M138" i="42"/>
  <c r="O138" i="42"/>
  <c r="A139" i="42"/>
  <c r="B139" i="42"/>
  <c r="C139" i="42"/>
  <c r="E139" i="42"/>
  <c r="G139" i="42"/>
  <c r="K139" i="42"/>
  <c r="M139" i="42"/>
  <c r="O139" i="42"/>
  <c r="A140" i="42"/>
  <c r="A122" i="42"/>
  <c r="B122" i="42"/>
  <c r="C122" i="42"/>
  <c r="E122" i="42"/>
  <c r="G122" i="42"/>
  <c r="K122" i="42"/>
  <c r="M122" i="42"/>
  <c r="O122" i="42"/>
  <c r="A123" i="42"/>
  <c r="B123" i="42"/>
  <c r="C123" i="42"/>
  <c r="E123" i="42"/>
  <c r="G123" i="42"/>
  <c r="K123" i="42"/>
  <c r="M123" i="42"/>
  <c r="O123" i="42"/>
  <c r="A124" i="42"/>
  <c r="B124" i="42"/>
  <c r="C124" i="42"/>
  <c r="E124" i="42"/>
  <c r="G124" i="42"/>
  <c r="K124" i="42"/>
  <c r="M124" i="42"/>
  <c r="O124" i="42"/>
  <c r="A125" i="42"/>
  <c r="B125" i="42"/>
  <c r="C125" i="42"/>
  <c r="E125" i="42"/>
  <c r="G125" i="42"/>
  <c r="K125" i="42"/>
  <c r="M125" i="42"/>
  <c r="O125" i="42"/>
  <c r="A126" i="42"/>
  <c r="B126" i="42"/>
  <c r="C126" i="42"/>
  <c r="E126" i="42"/>
  <c r="G126" i="42"/>
  <c r="K126" i="42"/>
  <c r="M126" i="42"/>
  <c r="O126" i="42"/>
  <c r="A127" i="42"/>
  <c r="B127" i="42"/>
  <c r="C127" i="42"/>
  <c r="E127" i="42"/>
  <c r="G127" i="42"/>
  <c r="K127" i="42"/>
  <c r="M127" i="42"/>
  <c r="O127" i="42"/>
  <c r="A128" i="42"/>
  <c r="B128" i="42"/>
  <c r="C128" i="42"/>
  <c r="E128" i="42"/>
  <c r="G128" i="42"/>
  <c r="K128" i="42"/>
  <c r="M128" i="42"/>
  <c r="O128" i="42"/>
  <c r="A129" i="42"/>
  <c r="B129" i="42"/>
  <c r="C129" i="42"/>
  <c r="E129" i="42"/>
  <c r="G129" i="42"/>
  <c r="K129" i="42"/>
  <c r="M129" i="42"/>
  <c r="O129" i="42"/>
  <c r="A130" i="42"/>
  <c r="B130" i="42"/>
  <c r="C130" i="42"/>
  <c r="E130" i="42"/>
  <c r="G130" i="42"/>
  <c r="K130" i="42"/>
  <c r="M130" i="42"/>
  <c r="O130" i="42"/>
  <c r="A131" i="42"/>
  <c r="B131" i="42"/>
  <c r="C131" i="42"/>
  <c r="E131" i="42"/>
  <c r="G131" i="42"/>
  <c r="K131" i="42"/>
  <c r="M131" i="42"/>
  <c r="O131" i="42"/>
  <c r="A132" i="42"/>
  <c r="B132" i="42"/>
  <c r="C132" i="42"/>
  <c r="E132" i="42"/>
  <c r="G132" i="42"/>
  <c r="K132" i="42"/>
  <c r="M132" i="42"/>
  <c r="O132" i="42"/>
  <c r="A133" i="42"/>
  <c r="A110" i="42"/>
  <c r="B110" i="42"/>
  <c r="C110" i="42"/>
  <c r="E110" i="42"/>
  <c r="G110" i="42"/>
  <c r="K110" i="42"/>
  <c r="M110" i="42"/>
  <c r="O110" i="42"/>
  <c r="A111" i="42"/>
  <c r="B111" i="42"/>
  <c r="C111" i="42"/>
  <c r="E111" i="42"/>
  <c r="G111" i="42"/>
  <c r="K111" i="42"/>
  <c r="M111" i="42"/>
  <c r="O111" i="42"/>
  <c r="A112" i="42"/>
  <c r="B112" i="42"/>
  <c r="C112" i="42"/>
  <c r="E112" i="42"/>
  <c r="G112" i="42"/>
  <c r="K112" i="42"/>
  <c r="M112" i="42"/>
  <c r="O112" i="42"/>
  <c r="A113" i="42"/>
  <c r="B113" i="42"/>
  <c r="C113" i="42"/>
  <c r="E113" i="42"/>
  <c r="G113" i="42"/>
  <c r="K113" i="42"/>
  <c r="M113" i="42"/>
  <c r="O113" i="42"/>
  <c r="A114" i="42"/>
  <c r="B114" i="42"/>
  <c r="C114" i="42"/>
  <c r="E114" i="42"/>
  <c r="G114" i="42"/>
  <c r="K114" i="42"/>
  <c r="M114" i="42"/>
  <c r="O114" i="42"/>
  <c r="A115" i="42"/>
  <c r="B115" i="42"/>
  <c r="C115" i="42"/>
  <c r="E115" i="42"/>
  <c r="G115" i="42"/>
  <c r="K115" i="42"/>
  <c r="M115" i="42"/>
  <c r="O115" i="42"/>
  <c r="A116" i="42"/>
  <c r="B116" i="42"/>
  <c r="C116" i="42"/>
  <c r="E116" i="42"/>
  <c r="G116" i="42"/>
  <c r="K116" i="42"/>
  <c r="M116" i="42"/>
  <c r="O116" i="42"/>
  <c r="A117" i="42"/>
  <c r="B117" i="42"/>
  <c r="C117" i="42"/>
  <c r="E117" i="42"/>
  <c r="G117" i="42"/>
  <c r="K117" i="42"/>
  <c r="M117" i="42"/>
  <c r="O117" i="42"/>
  <c r="A118" i="42"/>
  <c r="A94" i="42"/>
  <c r="B94" i="42"/>
  <c r="C94" i="42"/>
  <c r="E94" i="42"/>
  <c r="G94" i="42"/>
  <c r="K94" i="42"/>
  <c r="M94" i="42"/>
  <c r="O94" i="42"/>
  <c r="A95" i="42"/>
  <c r="B95" i="42"/>
  <c r="C95" i="42"/>
  <c r="E95" i="42"/>
  <c r="G95" i="42"/>
  <c r="K95" i="42"/>
  <c r="M95" i="42"/>
  <c r="O95" i="42"/>
  <c r="A96" i="42"/>
  <c r="B96" i="42"/>
  <c r="C96" i="42"/>
  <c r="E96" i="42"/>
  <c r="G96" i="42"/>
  <c r="K96" i="42"/>
  <c r="M96" i="42"/>
  <c r="O96" i="42"/>
  <c r="A97" i="42"/>
  <c r="B97" i="42"/>
  <c r="C97" i="42"/>
  <c r="E97" i="42"/>
  <c r="G97" i="42"/>
  <c r="K97" i="42"/>
  <c r="M97" i="42"/>
  <c r="O97" i="42"/>
  <c r="A98" i="42"/>
  <c r="B98" i="42"/>
  <c r="C98" i="42"/>
  <c r="E98" i="42"/>
  <c r="G98" i="42"/>
  <c r="K98" i="42"/>
  <c r="M98" i="42"/>
  <c r="O98" i="42"/>
  <c r="A99" i="42"/>
  <c r="B99" i="42"/>
  <c r="C99" i="42"/>
  <c r="E99" i="42"/>
  <c r="G99" i="42"/>
  <c r="K99" i="42"/>
  <c r="M99" i="42"/>
  <c r="O99" i="42"/>
  <c r="A100" i="42"/>
  <c r="A79" i="42"/>
  <c r="B79" i="42"/>
  <c r="C79" i="42"/>
  <c r="E79" i="42"/>
  <c r="G79" i="42"/>
  <c r="K79" i="42"/>
  <c r="M79" i="42"/>
  <c r="O79" i="42"/>
  <c r="A80" i="42"/>
  <c r="B80" i="42"/>
  <c r="C80" i="42"/>
  <c r="E80" i="42"/>
  <c r="G80" i="42"/>
  <c r="K80" i="42"/>
  <c r="M80" i="42"/>
  <c r="O80" i="42"/>
  <c r="A81" i="42"/>
  <c r="B81" i="42"/>
  <c r="C81" i="42"/>
  <c r="E81" i="42"/>
  <c r="G81" i="42"/>
  <c r="K81" i="42"/>
  <c r="M81" i="42"/>
  <c r="O81" i="42"/>
  <c r="A82" i="42"/>
  <c r="B82" i="42"/>
  <c r="C82" i="42"/>
  <c r="E82" i="42"/>
  <c r="G82" i="42"/>
  <c r="K82" i="42"/>
  <c r="M82" i="42"/>
  <c r="O82" i="42"/>
  <c r="A83" i="42"/>
  <c r="B83" i="42"/>
  <c r="C83" i="42"/>
  <c r="E83" i="42"/>
  <c r="G83" i="42"/>
  <c r="K83" i="42"/>
  <c r="M83" i="42"/>
  <c r="O83" i="42"/>
  <c r="A84" i="42"/>
  <c r="B84" i="42"/>
  <c r="C84" i="42"/>
  <c r="E84" i="42"/>
  <c r="G84" i="42"/>
  <c r="K84" i="42"/>
  <c r="M84" i="42"/>
  <c r="O84" i="42"/>
  <c r="A85" i="42"/>
  <c r="B85" i="42"/>
  <c r="C85" i="42"/>
  <c r="E85" i="42"/>
  <c r="G85" i="42"/>
  <c r="K85" i="42"/>
  <c r="M85" i="42"/>
  <c r="O85" i="42"/>
  <c r="A86" i="42"/>
  <c r="B86" i="42"/>
  <c r="C86" i="42"/>
  <c r="E86" i="42"/>
  <c r="G86" i="42"/>
  <c r="K86" i="42"/>
  <c r="M86" i="42"/>
  <c r="O86" i="42"/>
  <c r="A87" i="42"/>
  <c r="B87" i="42"/>
  <c r="C87" i="42"/>
  <c r="E87" i="42"/>
  <c r="G87" i="42"/>
  <c r="K87" i="42"/>
  <c r="M87" i="42"/>
  <c r="O87" i="42"/>
  <c r="A88" i="42"/>
  <c r="B88" i="42"/>
  <c r="C88" i="42"/>
  <c r="E88" i="42"/>
  <c r="G88" i="42"/>
  <c r="K88" i="42"/>
  <c r="M88" i="42"/>
  <c r="O88" i="42"/>
  <c r="A89" i="42"/>
  <c r="B89" i="42"/>
  <c r="C89" i="42"/>
  <c r="E89" i="42"/>
  <c r="G89" i="42"/>
  <c r="K89" i="42"/>
  <c r="M89" i="42"/>
  <c r="O89" i="42"/>
  <c r="A90" i="42"/>
  <c r="A63" i="42"/>
  <c r="B63" i="42"/>
  <c r="C63" i="42"/>
  <c r="E63" i="42"/>
  <c r="G63" i="42"/>
  <c r="K63" i="42"/>
  <c r="M63" i="42"/>
  <c r="O63" i="42"/>
  <c r="A64" i="42"/>
  <c r="B64" i="42"/>
  <c r="C64" i="42"/>
  <c r="E64" i="42"/>
  <c r="G64" i="42"/>
  <c r="K64" i="42"/>
  <c r="M64" i="42"/>
  <c r="O64" i="42"/>
  <c r="A65" i="42"/>
  <c r="B65" i="42"/>
  <c r="C65" i="42"/>
  <c r="E65" i="42"/>
  <c r="G65" i="42"/>
  <c r="K65" i="42"/>
  <c r="M65" i="42"/>
  <c r="O65" i="42"/>
  <c r="A66" i="42"/>
  <c r="B66" i="42"/>
  <c r="C66" i="42"/>
  <c r="E66" i="42"/>
  <c r="G66" i="42"/>
  <c r="K66" i="42"/>
  <c r="M66" i="42"/>
  <c r="O66" i="42"/>
  <c r="A67" i="42"/>
  <c r="B67" i="42"/>
  <c r="C67" i="42"/>
  <c r="E67" i="42"/>
  <c r="G67" i="42"/>
  <c r="K67" i="42"/>
  <c r="M67" i="42"/>
  <c r="O67" i="42"/>
  <c r="A68" i="42"/>
  <c r="B68" i="42"/>
  <c r="C68" i="42"/>
  <c r="E68" i="42"/>
  <c r="G68" i="42"/>
  <c r="K68" i="42"/>
  <c r="M68" i="42"/>
  <c r="O68" i="42"/>
  <c r="A69" i="42"/>
  <c r="B69" i="42"/>
  <c r="C69" i="42"/>
  <c r="E69" i="42"/>
  <c r="G69" i="42"/>
  <c r="K69" i="42"/>
  <c r="M69" i="42"/>
  <c r="O69" i="42"/>
  <c r="A70" i="42"/>
  <c r="B70" i="42"/>
  <c r="C70" i="42"/>
  <c r="E70" i="42"/>
  <c r="G70" i="42"/>
  <c r="K70" i="42"/>
  <c r="M70" i="42"/>
  <c r="O70" i="42"/>
  <c r="A71" i="42"/>
  <c r="B71" i="42"/>
  <c r="C71" i="42"/>
  <c r="E71" i="42"/>
  <c r="G71" i="42"/>
  <c r="K71" i="42"/>
  <c r="M71" i="42"/>
  <c r="O71" i="42"/>
  <c r="A72" i="42"/>
  <c r="B72" i="42"/>
  <c r="C72" i="42"/>
  <c r="E72" i="42"/>
  <c r="G72" i="42"/>
  <c r="K72" i="42"/>
  <c r="M72" i="42"/>
  <c r="O72" i="42"/>
  <c r="A73" i="42"/>
  <c r="B73" i="42"/>
  <c r="C73" i="42"/>
  <c r="E73" i="42"/>
  <c r="G73" i="42"/>
  <c r="K73" i="42"/>
  <c r="M73" i="42"/>
  <c r="O73" i="42"/>
  <c r="A74" i="42"/>
  <c r="B74" i="42"/>
  <c r="C74" i="42"/>
  <c r="E74" i="42"/>
  <c r="G74" i="42"/>
  <c r="K74" i="42"/>
  <c r="M74" i="42"/>
  <c r="O74" i="42"/>
  <c r="A75" i="42"/>
  <c r="A49" i="42"/>
  <c r="B49" i="42"/>
  <c r="C49" i="42"/>
  <c r="C193" i="42" s="1"/>
  <c r="E49" i="42"/>
  <c r="E193" i="42" s="1"/>
  <c r="G49" i="42"/>
  <c r="G193" i="42" s="1"/>
  <c r="K49" i="42"/>
  <c r="M49" i="42"/>
  <c r="K193" i="42" s="1"/>
  <c r="O49" i="42"/>
  <c r="A50" i="42"/>
  <c r="B50" i="42"/>
  <c r="C50" i="42"/>
  <c r="E50" i="42"/>
  <c r="G50" i="42"/>
  <c r="K50" i="42"/>
  <c r="M50" i="42"/>
  <c r="O50" i="42"/>
  <c r="A51" i="42"/>
  <c r="B51" i="42"/>
  <c r="C51" i="42"/>
  <c r="E51" i="42"/>
  <c r="G51" i="42"/>
  <c r="K51" i="42"/>
  <c r="M51" i="42"/>
  <c r="O51" i="42"/>
  <c r="A52" i="42"/>
  <c r="B52" i="42"/>
  <c r="C52" i="42"/>
  <c r="C190" i="42" s="1"/>
  <c r="E52" i="42"/>
  <c r="E190" i="42" s="1"/>
  <c r="G52" i="42"/>
  <c r="G190" i="42" s="1"/>
  <c r="K52" i="42"/>
  <c r="M52" i="42"/>
  <c r="K190" i="42" s="1"/>
  <c r="O52" i="42"/>
  <c r="M190" i="42" s="1"/>
  <c r="A53" i="42"/>
  <c r="B53" i="42"/>
  <c r="C53" i="42"/>
  <c r="C195" i="42" s="1"/>
  <c r="E53" i="42"/>
  <c r="E195" i="42" s="1"/>
  <c r="G53" i="42"/>
  <c r="G195" i="42" s="1"/>
  <c r="K53" i="42"/>
  <c r="I195" i="42" s="1"/>
  <c r="M53" i="42"/>
  <c r="K195" i="42" s="1"/>
  <c r="O53" i="42"/>
  <c r="M195" i="42" s="1"/>
  <c r="A54" i="42"/>
  <c r="B54" i="42"/>
  <c r="C54" i="42"/>
  <c r="C189" i="42" s="1"/>
  <c r="E54" i="42"/>
  <c r="E189" i="42" s="1"/>
  <c r="G54" i="42"/>
  <c r="G189" i="42" s="1"/>
  <c r="K54" i="42"/>
  <c r="I189" i="42" s="1"/>
  <c r="M54" i="42"/>
  <c r="K189" i="42" s="1"/>
  <c r="O54" i="42"/>
  <c r="M189" i="42" s="1"/>
  <c r="A55" i="42"/>
  <c r="B55" i="42"/>
  <c r="C55" i="42"/>
  <c r="C194" i="42" s="1"/>
  <c r="E55" i="42"/>
  <c r="E194" i="42" s="1"/>
  <c r="G55" i="42"/>
  <c r="G194" i="42" s="1"/>
  <c r="K55" i="42"/>
  <c r="I194" i="42" s="1"/>
  <c r="M55" i="42"/>
  <c r="K194" i="42" s="1"/>
  <c r="O55" i="42"/>
  <c r="A56" i="42"/>
  <c r="B56" i="42"/>
  <c r="C56" i="42"/>
  <c r="E56" i="42"/>
  <c r="G56" i="42"/>
  <c r="K56" i="42"/>
  <c r="M56" i="42"/>
  <c r="O56" i="42"/>
  <c r="A57" i="42"/>
  <c r="B57" i="42"/>
  <c r="C57" i="42"/>
  <c r="E57" i="42"/>
  <c r="G57" i="42"/>
  <c r="K57" i="42"/>
  <c r="M57" i="42"/>
  <c r="O57" i="42"/>
  <c r="A58" i="42"/>
  <c r="B58" i="42"/>
  <c r="C58" i="42"/>
  <c r="E58" i="42"/>
  <c r="G58" i="42"/>
  <c r="K58" i="42"/>
  <c r="M58" i="42"/>
  <c r="O58" i="42"/>
  <c r="A59" i="42"/>
  <c r="B41" i="42"/>
  <c r="M193" i="42" l="1"/>
  <c r="M194" i="42"/>
  <c r="O194" i="42" s="1"/>
  <c r="I190" i="42"/>
  <c r="I193" i="42"/>
  <c r="I196" i="42" s="1"/>
  <c r="M185" i="42"/>
  <c r="K185" i="42"/>
  <c r="I185" i="42"/>
  <c r="G185" i="42"/>
  <c r="E185" i="42"/>
  <c r="C185" i="42"/>
  <c r="O195" i="42"/>
  <c r="G196" i="42"/>
  <c r="E196" i="42"/>
  <c r="C196" i="42"/>
  <c r="M187" i="42"/>
  <c r="K187" i="42"/>
  <c r="I187" i="42"/>
  <c r="M188" i="42"/>
  <c r="K188" i="42"/>
  <c r="I188" i="42"/>
  <c r="O189" i="42"/>
  <c r="O190" i="42"/>
  <c r="K196" i="42"/>
  <c r="G187" i="42"/>
  <c r="E187" i="42"/>
  <c r="C187" i="42"/>
  <c r="G188" i="42"/>
  <c r="E188" i="42"/>
  <c r="C188" i="42"/>
  <c r="B194" i="42"/>
  <c r="D194" i="42" s="1"/>
  <c r="B189" i="42"/>
  <c r="L189" i="42" s="1"/>
  <c r="B195" i="42"/>
  <c r="H195" i="42" s="1"/>
  <c r="B190" i="42"/>
  <c r="N190" i="42" s="1"/>
  <c r="B188" i="42"/>
  <c r="B193" i="42"/>
  <c r="B187" i="42"/>
  <c r="B185" i="42"/>
  <c r="C6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M196" i="42" l="1"/>
  <c r="O193" i="42"/>
  <c r="P193" i="42" s="1"/>
  <c r="B196" i="42"/>
  <c r="L196" i="42" s="1"/>
  <c r="H185" i="42"/>
  <c r="L185" i="42"/>
  <c r="F185" i="42"/>
  <c r="J185" i="42"/>
  <c r="N185" i="42"/>
  <c r="O185" i="42"/>
  <c r="P185" i="42" s="1"/>
  <c r="D185" i="42"/>
  <c r="O188" i="42"/>
  <c r="P188" i="42" s="1"/>
  <c r="D188" i="42"/>
  <c r="F187" i="42"/>
  <c r="L187" i="42"/>
  <c r="H188" i="42"/>
  <c r="H190" i="42"/>
  <c r="L195" i="42"/>
  <c r="F189" i="42"/>
  <c r="J194" i="42"/>
  <c r="N194" i="42"/>
  <c r="J196" i="42"/>
  <c r="P190" i="42"/>
  <c r="D189" i="42"/>
  <c r="J188" i="42"/>
  <c r="N188" i="42"/>
  <c r="L190" i="42"/>
  <c r="F195" i="42"/>
  <c r="J189" i="42"/>
  <c r="N189" i="42"/>
  <c r="H194" i="42"/>
  <c r="D193" i="42"/>
  <c r="F193" i="42"/>
  <c r="H193" i="42"/>
  <c r="D195" i="42"/>
  <c r="P194" i="42"/>
  <c r="D187" i="42"/>
  <c r="O187" i="42"/>
  <c r="H187" i="42"/>
  <c r="J187" i="42"/>
  <c r="N187" i="42"/>
  <c r="F188" i="42"/>
  <c r="F190" i="42"/>
  <c r="J195" i="42"/>
  <c r="N195" i="42"/>
  <c r="H189" i="42"/>
  <c r="L194" i="42"/>
  <c r="J193" i="42"/>
  <c r="L193" i="42"/>
  <c r="N193" i="42"/>
  <c r="D190" i="42"/>
  <c r="P189" i="42"/>
  <c r="L188" i="42"/>
  <c r="J190" i="42"/>
  <c r="F194" i="42"/>
  <c r="F196" i="42"/>
  <c r="P195" i="42"/>
  <c r="N10" i="40"/>
  <c r="O140" i="42" s="1"/>
  <c r="L10" i="40"/>
  <c r="M140" i="42" s="1"/>
  <c r="J10" i="40"/>
  <c r="K140" i="42" s="1"/>
  <c r="G10" i="40"/>
  <c r="G140" i="42" s="1"/>
  <c r="E10" i="40"/>
  <c r="E140" i="42" s="1"/>
  <c r="C10" i="40"/>
  <c r="C140" i="42" s="1"/>
  <c r="B10" i="40"/>
  <c r="B140" i="42" s="1"/>
  <c r="P9" i="40"/>
  <c r="P139" i="42"/>
  <c r="N139" i="42"/>
  <c r="L139" i="42"/>
  <c r="I9" i="40"/>
  <c r="H139" i="42"/>
  <c r="F139" i="42"/>
  <c r="D139" i="42"/>
  <c r="P8" i="40"/>
  <c r="P138" i="42"/>
  <c r="N138" i="42"/>
  <c r="L138" i="42"/>
  <c r="I8" i="40"/>
  <c r="H138" i="42"/>
  <c r="F138" i="42"/>
  <c r="D138" i="42"/>
  <c r="P7" i="40"/>
  <c r="P137" i="42"/>
  <c r="N137" i="42"/>
  <c r="L137" i="42"/>
  <c r="I7" i="40"/>
  <c r="H137" i="42"/>
  <c r="F137" i="42"/>
  <c r="D137" i="42"/>
  <c r="O18" i="5"/>
  <c r="O133" i="42" s="1"/>
  <c r="M18" i="5"/>
  <c r="M133" i="42" s="1"/>
  <c r="K18" i="5"/>
  <c r="K133" i="42" s="1"/>
  <c r="G18" i="5"/>
  <c r="G133" i="42" s="1"/>
  <c r="E18" i="5"/>
  <c r="E133" i="42" s="1"/>
  <c r="C18" i="5"/>
  <c r="C133" i="42" s="1"/>
  <c r="O15" i="4"/>
  <c r="O118" i="42" s="1"/>
  <c r="M15" i="4"/>
  <c r="M118" i="42" s="1"/>
  <c r="K15" i="4"/>
  <c r="K118" i="42" s="1"/>
  <c r="G15" i="4"/>
  <c r="G118" i="42" s="1"/>
  <c r="E15" i="4"/>
  <c r="E118" i="42" s="1"/>
  <c r="C15" i="4"/>
  <c r="C118" i="42" s="1"/>
  <c r="O13" i="6"/>
  <c r="O100" i="42" s="1"/>
  <c r="M13" i="6"/>
  <c r="M100" i="42" s="1"/>
  <c r="K13" i="6"/>
  <c r="K100" i="42" s="1"/>
  <c r="G13" i="6"/>
  <c r="G100" i="42" s="1"/>
  <c r="E13" i="6"/>
  <c r="E100" i="42" s="1"/>
  <c r="C13" i="6"/>
  <c r="C100" i="42" s="1"/>
  <c r="O18" i="41"/>
  <c r="O90" i="42" s="1"/>
  <c r="M18" i="41"/>
  <c r="M90" i="42" s="1"/>
  <c r="K18" i="41"/>
  <c r="K90" i="42" s="1"/>
  <c r="G18" i="41"/>
  <c r="G90" i="42" s="1"/>
  <c r="E18" i="41"/>
  <c r="E90" i="42" s="1"/>
  <c r="C18" i="41"/>
  <c r="C90" i="42" s="1"/>
  <c r="O19" i="25"/>
  <c r="O75" i="42" s="1"/>
  <c r="M19" i="25"/>
  <c r="M75" i="42" s="1"/>
  <c r="K19" i="25"/>
  <c r="K75" i="42" s="1"/>
  <c r="G19" i="25"/>
  <c r="G75" i="42" s="1"/>
  <c r="E19" i="25"/>
  <c r="E75" i="42" s="1"/>
  <c r="C19" i="25"/>
  <c r="C75" i="42" s="1"/>
  <c r="O17" i="8"/>
  <c r="O59" i="42" s="1"/>
  <c r="M17" i="8"/>
  <c r="M59" i="42" s="1"/>
  <c r="K17" i="8"/>
  <c r="K59" i="42" s="1"/>
  <c r="G17" i="8"/>
  <c r="G59" i="42" s="1"/>
  <c r="E17" i="8"/>
  <c r="E59" i="42" s="1"/>
  <c r="C17" i="8"/>
  <c r="C59" i="42" s="1"/>
  <c r="O10" i="3"/>
  <c r="O45" i="42" s="1"/>
  <c r="M10" i="3"/>
  <c r="M45" i="42" s="1"/>
  <c r="K10" i="3"/>
  <c r="K45" i="42" s="1"/>
  <c r="G10" i="3"/>
  <c r="G45" i="42" s="1"/>
  <c r="E10" i="3"/>
  <c r="E45" i="42" s="1"/>
  <c r="C10" i="3"/>
  <c r="C45" i="42" s="1"/>
  <c r="O12" i="2"/>
  <c r="O38" i="42" s="1"/>
  <c r="M12" i="2"/>
  <c r="M38" i="42" s="1"/>
  <c r="K12" i="2"/>
  <c r="K38" i="42" s="1"/>
  <c r="G12" i="2"/>
  <c r="G38" i="42" s="1"/>
  <c r="E12" i="2"/>
  <c r="E38" i="42" s="1"/>
  <c r="C12" i="2"/>
  <c r="C38" i="42" s="1"/>
  <c r="O16" i="7"/>
  <c r="O29" i="42" s="1"/>
  <c r="M16" i="7"/>
  <c r="M29" i="42" s="1"/>
  <c r="K16" i="7"/>
  <c r="K29" i="42" s="1"/>
  <c r="G16" i="7"/>
  <c r="G29" i="42" s="1"/>
  <c r="E16" i="7"/>
  <c r="E29" i="42" s="1"/>
  <c r="C16" i="7"/>
  <c r="C29" i="42" s="1"/>
  <c r="O15" i="19"/>
  <c r="O16" i="42" s="1"/>
  <c r="M15" i="19"/>
  <c r="M16" i="42" s="1"/>
  <c r="K15" i="19"/>
  <c r="K16" i="42" s="1"/>
  <c r="E15" i="19"/>
  <c r="E16" i="42" s="1"/>
  <c r="C15" i="19"/>
  <c r="C16" i="42" s="1"/>
  <c r="P19" i="39"/>
  <c r="P165" i="42" s="1"/>
  <c r="P7" i="39"/>
  <c r="P153" i="42" s="1"/>
  <c r="O196" i="42" l="1"/>
  <c r="H196" i="42"/>
  <c r="P196" i="42"/>
  <c r="D196" i="42"/>
  <c r="N196" i="42"/>
  <c r="J137" i="42"/>
  <c r="I137" i="42"/>
  <c r="R137" i="42"/>
  <c r="Q137" i="42"/>
  <c r="J138" i="42"/>
  <c r="I138" i="42"/>
  <c r="R138" i="42"/>
  <c r="Q138" i="42"/>
  <c r="J139" i="42"/>
  <c r="I139" i="42"/>
  <c r="R139" i="42"/>
  <c r="Q139" i="42"/>
  <c r="Q18" i="5"/>
  <c r="Q133" i="42" s="1"/>
  <c r="I18" i="5"/>
  <c r="I133" i="42" s="1"/>
  <c r="Q15" i="4"/>
  <c r="Q118" i="42" s="1"/>
  <c r="I15" i="4"/>
  <c r="I18" i="41"/>
  <c r="Q19" i="25"/>
  <c r="I19" i="25"/>
  <c r="Q10" i="3"/>
  <c r="Q45" i="42" s="1"/>
  <c r="I10" i="3"/>
  <c r="Q12" i="2"/>
  <c r="Q38" i="42" s="1"/>
  <c r="I12" i="2"/>
  <c r="I16" i="7"/>
  <c r="P187" i="42"/>
  <c r="I17" i="8"/>
  <c r="Q17" i="8"/>
  <c r="Q59" i="42" s="1"/>
  <c r="Q15" i="19"/>
  <c r="Q16" i="42" s="1"/>
  <c r="I15" i="19"/>
  <c r="I13" i="6"/>
  <c r="Q13" i="6"/>
  <c r="Q100" i="42" s="1"/>
  <c r="F140" i="42"/>
  <c r="L140" i="42"/>
  <c r="P140" i="42"/>
  <c r="D140" i="42"/>
  <c r="H140" i="42"/>
  <c r="N140" i="42"/>
  <c r="I10" i="40"/>
  <c r="P10" i="40"/>
  <c r="D15" i="40"/>
  <c r="D16" i="40"/>
  <c r="D17" i="40"/>
  <c r="D18" i="40"/>
  <c r="D19" i="40"/>
  <c r="D20" i="40"/>
  <c r="F15" i="40"/>
  <c r="F16" i="40"/>
  <c r="F17" i="40"/>
  <c r="F18" i="40"/>
  <c r="F19" i="40"/>
  <c r="F20" i="40"/>
  <c r="H15" i="40"/>
  <c r="H16" i="40"/>
  <c r="H17" i="40"/>
  <c r="H18" i="40"/>
  <c r="H19" i="40"/>
  <c r="H20" i="40"/>
  <c r="M15" i="40"/>
  <c r="M16" i="40"/>
  <c r="M17" i="40"/>
  <c r="M18" i="40"/>
  <c r="M19" i="40"/>
  <c r="M20" i="40"/>
  <c r="O15" i="40"/>
  <c r="O16" i="40"/>
  <c r="O17" i="40"/>
  <c r="O18" i="40"/>
  <c r="O19" i="40"/>
  <c r="O20" i="40"/>
  <c r="K15" i="40"/>
  <c r="K16" i="40"/>
  <c r="K17" i="40"/>
  <c r="K18" i="40"/>
  <c r="K19" i="40"/>
  <c r="K20" i="40"/>
  <c r="I15" i="40"/>
  <c r="I16" i="40"/>
  <c r="I17" i="40"/>
  <c r="I18" i="40"/>
  <c r="I19" i="40"/>
  <c r="I20" i="40"/>
  <c r="O20" i="39"/>
  <c r="M20" i="39"/>
  <c r="M166" i="42" s="1"/>
  <c r="K186" i="42" s="1"/>
  <c r="K20" i="39"/>
  <c r="K166" i="42" s="1"/>
  <c r="I186" i="42" s="1"/>
  <c r="G20" i="39"/>
  <c r="G166" i="42" s="1"/>
  <c r="G186" i="42" s="1"/>
  <c r="E20" i="39"/>
  <c r="E166" i="42" s="1"/>
  <c r="E186" i="42" s="1"/>
  <c r="C15" i="39"/>
  <c r="C161" i="42" s="1"/>
  <c r="C20" i="39"/>
  <c r="C166" i="42" s="1"/>
  <c r="C186" i="42" s="1"/>
  <c r="O15" i="39"/>
  <c r="O161" i="42" s="1"/>
  <c r="M15" i="39"/>
  <c r="M161" i="42" s="1"/>
  <c r="K15" i="39"/>
  <c r="K161" i="42" s="1"/>
  <c r="G15" i="39"/>
  <c r="G161" i="42" s="1"/>
  <c r="E15" i="39"/>
  <c r="E161" i="42" s="1"/>
  <c r="N21" i="40"/>
  <c r="L21" i="40"/>
  <c r="J21" i="40"/>
  <c r="G21" i="40"/>
  <c r="E21" i="40"/>
  <c r="C21" i="40"/>
  <c r="P17" i="41"/>
  <c r="P89" i="42" s="1"/>
  <c r="Q16" i="41"/>
  <c r="Q17" i="41"/>
  <c r="I16" i="41"/>
  <c r="I17" i="41"/>
  <c r="C34" i="5"/>
  <c r="E34" i="5"/>
  <c r="G34" i="5"/>
  <c r="K34" i="5"/>
  <c r="O34" i="5"/>
  <c r="O45" i="4"/>
  <c r="M45" i="4"/>
  <c r="K45" i="4"/>
  <c r="G45" i="4"/>
  <c r="E45" i="4"/>
  <c r="C45" i="4"/>
  <c r="O39" i="4"/>
  <c r="M39" i="4"/>
  <c r="E39" i="4"/>
  <c r="C39" i="4"/>
  <c r="E28" i="4"/>
  <c r="G28" i="4"/>
  <c r="M28" i="4"/>
  <c r="O28" i="4"/>
  <c r="O35" i="6"/>
  <c r="O106" i="42" s="1"/>
  <c r="M35" i="6"/>
  <c r="M106" i="42" s="1"/>
  <c r="K35" i="6"/>
  <c r="K106" i="42" s="1"/>
  <c r="G35" i="6"/>
  <c r="G106" i="42" s="1"/>
  <c r="E35" i="6"/>
  <c r="E106" i="42" s="1"/>
  <c r="C29" i="6"/>
  <c r="E29" i="6"/>
  <c r="G29" i="6"/>
  <c r="M29" i="6"/>
  <c r="O29" i="6"/>
  <c r="O36" i="41"/>
  <c r="M36" i="41"/>
  <c r="K36" i="41"/>
  <c r="G36" i="41"/>
  <c r="E36" i="41"/>
  <c r="C36" i="41"/>
  <c r="O32" i="8"/>
  <c r="M32" i="8"/>
  <c r="K32" i="8"/>
  <c r="G32" i="8"/>
  <c r="E32" i="8"/>
  <c r="C32" i="8"/>
  <c r="O44" i="8"/>
  <c r="M44" i="8"/>
  <c r="K44" i="8"/>
  <c r="G44" i="8"/>
  <c r="E44" i="8"/>
  <c r="C44" i="8"/>
  <c r="E22" i="2"/>
  <c r="C22" i="2"/>
  <c r="I34" i="2"/>
  <c r="J34" i="2" s="1"/>
  <c r="I35" i="2"/>
  <c r="J35" i="2" s="1"/>
  <c r="I10" i="7"/>
  <c r="I23" i="42" s="1"/>
  <c r="H14" i="7"/>
  <c r="H27" i="42" s="1"/>
  <c r="F14" i="7"/>
  <c r="F27" i="42" s="1"/>
  <c r="J27" i="19"/>
  <c r="I26" i="19"/>
  <c r="J26" i="19" s="1"/>
  <c r="I25" i="19"/>
  <c r="I24" i="19"/>
  <c r="I23" i="19"/>
  <c r="J23" i="19" s="1"/>
  <c r="I22" i="19"/>
  <c r="J22" i="19" s="1"/>
  <c r="I21" i="19"/>
  <c r="J21" i="19" s="1"/>
  <c r="I20" i="19"/>
  <c r="J20" i="19" s="1"/>
  <c r="Q25" i="19"/>
  <c r="R25" i="19" s="1"/>
  <c r="Q24" i="19"/>
  <c r="R24" i="19" s="1"/>
  <c r="Q23" i="19"/>
  <c r="R23" i="19" s="1"/>
  <c r="Q22" i="19"/>
  <c r="R22" i="19" s="1"/>
  <c r="Q21" i="19"/>
  <c r="R21" i="19" s="1"/>
  <c r="Q20" i="19"/>
  <c r="R20" i="19" s="1"/>
  <c r="O31" i="19"/>
  <c r="M31" i="19"/>
  <c r="K31" i="19"/>
  <c r="G31" i="19"/>
  <c r="E31" i="19"/>
  <c r="C31" i="19"/>
  <c r="B31" i="19"/>
  <c r="P31" i="19" s="1"/>
  <c r="D22" i="19"/>
  <c r="D21" i="19"/>
  <c r="D20" i="19"/>
  <c r="D7" i="19"/>
  <c r="D8" i="42" s="1"/>
  <c r="N31" i="19"/>
  <c r="L31" i="19"/>
  <c r="H31" i="19"/>
  <c r="F31" i="19"/>
  <c r="P30" i="19"/>
  <c r="N30" i="19"/>
  <c r="L30" i="19"/>
  <c r="J30" i="19"/>
  <c r="H30" i="19"/>
  <c r="F30" i="19"/>
  <c r="D30" i="19"/>
  <c r="P29" i="19"/>
  <c r="N29" i="19"/>
  <c r="L29" i="19"/>
  <c r="J29" i="19"/>
  <c r="H29" i="19"/>
  <c r="F29" i="19"/>
  <c r="D29" i="19"/>
  <c r="P28" i="19"/>
  <c r="N28" i="19"/>
  <c r="L28" i="19"/>
  <c r="J28" i="19"/>
  <c r="H28" i="19"/>
  <c r="F28" i="19"/>
  <c r="D28" i="19"/>
  <c r="P27" i="19"/>
  <c r="N27" i="19"/>
  <c r="L27" i="19"/>
  <c r="H27" i="19"/>
  <c r="F27" i="19"/>
  <c r="D27" i="19"/>
  <c r="P26" i="19"/>
  <c r="N26" i="19"/>
  <c r="L26" i="19"/>
  <c r="H26" i="19"/>
  <c r="F26" i="19"/>
  <c r="D26" i="19"/>
  <c r="P25" i="19"/>
  <c r="N25" i="19"/>
  <c r="L25" i="19"/>
  <c r="H25" i="19"/>
  <c r="F25" i="19"/>
  <c r="D25" i="19"/>
  <c r="P24" i="19"/>
  <c r="N24" i="19"/>
  <c r="L24" i="19"/>
  <c r="H24" i="19"/>
  <c r="F24" i="19"/>
  <c r="D24" i="19"/>
  <c r="P23" i="19"/>
  <c r="N23" i="19"/>
  <c r="L23" i="19"/>
  <c r="H23" i="19"/>
  <c r="F23" i="19"/>
  <c r="D23" i="19"/>
  <c r="P22" i="19"/>
  <c r="N22" i="19"/>
  <c r="L22" i="19"/>
  <c r="H22" i="19"/>
  <c r="F22" i="19"/>
  <c r="P21" i="19"/>
  <c r="N21" i="19"/>
  <c r="L21" i="19"/>
  <c r="H21" i="19"/>
  <c r="F21" i="19"/>
  <c r="P20" i="19"/>
  <c r="N20" i="19"/>
  <c r="L20" i="19"/>
  <c r="H20" i="19"/>
  <c r="F20" i="19"/>
  <c r="P14" i="19"/>
  <c r="P15" i="42" s="1"/>
  <c r="N14" i="19"/>
  <c r="N15" i="42" s="1"/>
  <c r="L14" i="19"/>
  <c r="L15" i="42" s="1"/>
  <c r="H14" i="19"/>
  <c r="H15" i="42" s="1"/>
  <c r="F14" i="19"/>
  <c r="F15" i="42" s="1"/>
  <c r="D14" i="19"/>
  <c r="D15" i="42" s="1"/>
  <c r="P13" i="19"/>
  <c r="P14" i="42" s="1"/>
  <c r="N13" i="19"/>
  <c r="N14" i="42" s="1"/>
  <c r="L13" i="19"/>
  <c r="L14" i="42" s="1"/>
  <c r="H13" i="19"/>
  <c r="H14" i="42" s="1"/>
  <c r="F13" i="19"/>
  <c r="F14" i="42" s="1"/>
  <c r="D13" i="19"/>
  <c r="D14" i="42" s="1"/>
  <c r="P12" i="19"/>
  <c r="P13" i="42" s="1"/>
  <c r="N12" i="19"/>
  <c r="N13" i="42" s="1"/>
  <c r="L12" i="19"/>
  <c r="L13" i="42" s="1"/>
  <c r="H12" i="19"/>
  <c r="H13" i="42" s="1"/>
  <c r="F12" i="19"/>
  <c r="F13" i="42" s="1"/>
  <c r="D12" i="19"/>
  <c r="D13" i="42" s="1"/>
  <c r="P11" i="19"/>
  <c r="P12" i="42" s="1"/>
  <c r="N11" i="19"/>
  <c r="N12" i="42" s="1"/>
  <c r="L11" i="19"/>
  <c r="L12" i="42" s="1"/>
  <c r="H11" i="19"/>
  <c r="H12" i="42" s="1"/>
  <c r="F11" i="19"/>
  <c r="F12" i="42" s="1"/>
  <c r="D11" i="19"/>
  <c r="D12" i="42" s="1"/>
  <c r="P10" i="19"/>
  <c r="P11" i="42" s="1"/>
  <c r="N10" i="19"/>
  <c r="N11" i="42" s="1"/>
  <c r="L10" i="19"/>
  <c r="L11" i="42" s="1"/>
  <c r="H10" i="19"/>
  <c r="H11" i="42" s="1"/>
  <c r="F10" i="19"/>
  <c r="F11" i="42" s="1"/>
  <c r="D10" i="19"/>
  <c r="D11" i="42" s="1"/>
  <c r="P9" i="19"/>
  <c r="P10" i="42" s="1"/>
  <c r="N9" i="19"/>
  <c r="N10" i="42" s="1"/>
  <c r="L9" i="19"/>
  <c r="L10" i="42" s="1"/>
  <c r="H9" i="19"/>
  <c r="H10" i="42" s="1"/>
  <c r="F9" i="19"/>
  <c r="F10" i="42" s="1"/>
  <c r="D9" i="19"/>
  <c r="D10" i="42" s="1"/>
  <c r="P8" i="19"/>
  <c r="P9" i="42" s="1"/>
  <c r="N8" i="19"/>
  <c r="N9" i="42" s="1"/>
  <c r="L8" i="19"/>
  <c r="L9" i="42" s="1"/>
  <c r="H8" i="19"/>
  <c r="H9" i="42" s="1"/>
  <c r="F8" i="19"/>
  <c r="F9" i="42" s="1"/>
  <c r="D8" i="19"/>
  <c r="D9" i="42" s="1"/>
  <c r="P7" i="19"/>
  <c r="P8" i="42" s="1"/>
  <c r="N7" i="19"/>
  <c r="N8" i="42" s="1"/>
  <c r="L7" i="19"/>
  <c r="L8" i="42" s="1"/>
  <c r="H7" i="19"/>
  <c r="H8" i="42" s="1"/>
  <c r="F7" i="19"/>
  <c r="F8" i="42" s="1"/>
  <c r="I7" i="19"/>
  <c r="P44" i="4"/>
  <c r="P43" i="4"/>
  <c r="N44" i="4"/>
  <c r="N43" i="4"/>
  <c r="L44" i="4"/>
  <c r="L43" i="4"/>
  <c r="H44" i="4"/>
  <c r="H43" i="4"/>
  <c r="F44" i="4"/>
  <c r="F43" i="4"/>
  <c r="D44" i="4"/>
  <c r="D43" i="4"/>
  <c r="P38" i="4"/>
  <c r="P37" i="4"/>
  <c r="P36" i="4"/>
  <c r="P35" i="4"/>
  <c r="P34" i="4"/>
  <c r="P33" i="4"/>
  <c r="P32" i="4"/>
  <c r="N38" i="4"/>
  <c r="N37" i="4"/>
  <c r="N36" i="4"/>
  <c r="N35" i="4"/>
  <c r="N34" i="4"/>
  <c r="N33" i="4"/>
  <c r="N32" i="4"/>
  <c r="L38" i="4"/>
  <c r="L37" i="4"/>
  <c r="L36" i="4"/>
  <c r="L35" i="4"/>
  <c r="L34" i="4"/>
  <c r="L33" i="4"/>
  <c r="L32" i="4"/>
  <c r="H38" i="4"/>
  <c r="H37" i="4"/>
  <c r="H36" i="4"/>
  <c r="H35" i="4"/>
  <c r="H34" i="4"/>
  <c r="H33" i="4"/>
  <c r="H32" i="4"/>
  <c r="F38" i="4"/>
  <c r="F37" i="4"/>
  <c r="F36" i="4"/>
  <c r="F35" i="4"/>
  <c r="F34" i="4"/>
  <c r="F33" i="4"/>
  <c r="F32" i="4"/>
  <c r="D38" i="4"/>
  <c r="D37" i="4"/>
  <c r="D36" i="4"/>
  <c r="D35" i="4"/>
  <c r="D34" i="4"/>
  <c r="D33" i="4"/>
  <c r="D32" i="4"/>
  <c r="R6" i="39"/>
  <c r="R18" i="39" s="1"/>
  <c r="R23" i="39" s="1"/>
  <c r="Q6" i="39"/>
  <c r="Q18" i="39" s="1"/>
  <c r="Q23" i="39" s="1"/>
  <c r="P6" i="39"/>
  <c r="P18" i="39" s="1"/>
  <c r="P23" i="39" s="1"/>
  <c r="O6" i="39"/>
  <c r="O18" i="39" s="1"/>
  <c r="O23" i="39" s="1"/>
  <c r="N6" i="39"/>
  <c r="N18" i="39" s="1"/>
  <c r="N23" i="39" s="1"/>
  <c r="M6" i="39"/>
  <c r="M18" i="39" s="1"/>
  <c r="M23" i="39" s="1"/>
  <c r="L6" i="39"/>
  <c r="L18" i="39" s="1"/>
  <c r="L23" i="39" s="1"/>
  <c r="K6" i="39"/>
  <c r="K18" i="39" s="1"/>
  <c r="K23" i="39" s="1"/>
  <c r="J6" i="39"/>
  <c r="J18" i="39" s="1"/>
  <c r="J23" i="39" s="1"/>
  <c r="I6" i="39"/>
  <c r="I18" i="39" s="1"/>
  <c r="I23" i="39" s="1"/>
  <c r="H6" i="39"/>
  <c r="H18" i="39" s="1"/>
  <c r="H23" i="39" s="1"/>
  <c r="G6" i="39"/>
  <c r="G18" i="39" s="1"/>
  <c r="G23" i="39" s="1"/>
  <c r="F6" i="39"/>
  <c r="F18" i="39" s="1"/>
  <c r="F23" i="39" s="1"/>
  <c r="E6" i="39"/>
  <c r="E18" i="39" s="1"/>
  <c r="E23" i="39" s="1"/>
  <c r="D6" i="39"/>
  <c r="D18" i="39" s="1"/>
  <c r="D23" i="39" s="1"/>
  <c r="C6" i="39"/>
  <c r="C18" i="39" s="1"/>
  <c r="C23" i="39" s="1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6" i="4"/>
  <c r="R42" i="4" s="1"/>
  <c r="Q6" i="4"/>
  <c r="Q42" i="4" s="1"/>
  <c r="P6" i="4"/>
  <c r="P42" i="4" s="1"/>
  <c r="O6" i="4"/>
  <c r="O42" i="4" s="1"/>
  <c r="N6" i="4"/>
  <c r="N42" i="4" s="1"/>
  <c r="M6" i="4"/>
  <c r="M42" i="4" s="1"/>
  <c r="L6" i="4"/>
  <c r="L42" i="4" s="1"/>
  <c r="K6" i="4"/>
  <c r="K42" i="4" s="1"/>
  <c r="J6" i="4"/>
  <c r="J42" i="4" s="1"/>
  <c r="I6" i="4"/>
  <c r="I42" i="4" s="1"/>
  <c r="H6" i="4"/>
  <c r="H42" i="4" s="1"/>
  <c r="G6" i="4"/>
  <c r="G42" i="4" s="1"/>
  <c r="F6" i="4"/>
  <c r="F42" i="4" s="1"/>
  <c r="E6" i="4"/>
  <c r="E42" i="4" s="1"/>
  <c r="D6" i="4"/>
  <c r="D42" i="4" s="1"/>
  <c r="C6" i="4"/>
  <c r="C42" i="4" s="1"/>
  <c r="C40" i="34"/>
  <c r="E40" i="34" s="1"/>
  <c r="C39" i="34"/>
  <c r="C37" i="34"/>
  <c r="E37" i="34" s="1"/>
  <c r="C36" i="34"/>
  <c r="C35" i="34"/>
  <c r="E35" i="34" s="1"/>
  <c r="C34" i="34"/>
  <c r="E34" i="34" s="1"/>
  <c r="C33" i="34"/>
  <c r="E33" i="34" s="1"/>
  <c r="C31" i="34"/>
  <c r="C30" i="34"/>
  <c r="E30" i="34" s="1"/>
  <c r="C29" i="34"/>
  <c r="E29" i="34" s="1"/>
  <c r="C27" i="34"/>
  <c r="C20" i="34"/>
  <c r="C19" i="34"/>
  <c r="E19" i="34" s="1"/>
  <c r="C18" i="34"/>
  <c r="E18" i="34" s="1"/>
  <c r="C16" i="34"/>
  <c r="M16" i="34" s="1"/>
  <c r="C15" i="34"/>
  <c r="C14" i="34"/>
  <c r="E14" i="34" s="1"/>
  <c r="C13" i="34"/>
  <c r="C12" i="34"/>
  <c r="C11" i="34"/>
  <c r="C10" i="34"/>
  <c r="C9" i="34"/>
  <c r="C7" i="34"/>
  <c r="C6" i="34"/>
  <c r="C5" i="34"/>
  <c r="C4" i="34"/>
  <c r="O16" i="34"/>
  <c r="B18" i="41"/>
  <c r="B90" i="42" s="1"/>
  <c r="D17" i="41"/>
  <c r="D89" i="42" s="1"/>
  <c r="F17" i="41"/>
  <c r="F89" i="42" s="1"/>
  <c r="H17" i="41"/>
  <c r="H89" i="42" s="1"/>
  <c r="L17" i="41"/>
  <c r="L89" i="42" s="1"/>
  <c r="N17" i="41"/>
  <c r="N89" i="42" s="1"/>
  <c r="D16" i="41"/>
  <c r="D88" i="42" s="1"/>
  <c r="F16" i="41"/>
  <c r="F88" i="42" s="1"/>
  <c r="H16" i="41"/>
  <c r="H88" i="42" s="1"/>
  <c r="L16" i="41"/>
  <c r="L88" i="42" s="1"/>
  <c r="N16" i="41"/>
  <c r="N88" i="42" s="1"/>
  <c r="P16" i="41"/>
  <c r="P88" i="42" s="1"/>
  <c r="B36" i="41"/>
  <c r="Q35" i="41"/>
  <c r="R35" i="41" s="1"/>
  <c r="P35" i="41"/>
  <c r="N35" i="41"/>
  <c r="L35" i="41"/>
  <c r="I35" i="41"/>
  <c r="J35" i="41" s="1"/>
  <c r="H35" i="41"/>
  <c r="F35" i="41"/>
  <c r="D35" i="41"/>
  <c r="Q34" i="41"/>
  <c r="R34" i="41" s="1"/>
  <c r="P34" i="41"/>
  <c r="N34" i="41"/>
  <c r="L34" i="41"/>
  <c r="I34" i="41"/>
  <c r="J34" i="41" s="1"/>
  <c r="H34" i="41"/>
  <c r="F34" i="41"/>
  <c r="D34" i="41"/>
  <c r="Q33" i="41"/>
  <c r="R33" i="41" s="1"/>
  <c r="P33" i="41"/>
  <c r="N33" i="41"/>
  <c r="L33" i="41"/>
  <c r="I33" i="41"/>
  <c r="J33" i="41" s="1"/>
  <c r="H33" i="41"/>
  <c r="F33" i="41"/>
  <c r="D33" i="41"/>
  <c r="Q32" i="41"/>
  <c r="R32" i="41" s="1"/>
  <c r="P32" i="41"/>
  <c r="N32" i="41"/>
  <c r="L32" i="41"/>
  <c r="I32" i="41"/>
  <c r="J32" i="41" s="1"/>
  <c r="H32" i="41"/>
  <c r="F32" i="41"/>
  <c r="D32" i="41"/>
  <c r="Q31" i="41"/>
  <c r="R31" i="41" s="1"/>
  <c r="P31" i="41"/>
  <c r="N31" i="41"/>
  <c r="L31" i="41"/>
  <c r="I31" i="41"/>
  <c r="J31" i="41" s="1"/>
  <c r="H31" i="41"/>
  <c r="F31" i="41"/>
  <c r="D31" i="41"/>
  <c r="Q30" i="41"/>
  <c r="R30" i="41" s="1"/>
  <c r="P30" i="41"/>
  <c r="N30" i="41"/>
  <c r="L30" i="41"/>
  <c r="I30" i="41"/>
  <c r="J30" i="41" s="1"/>
  <c r="H30" i="41"/>
  <c r="F30" i="41"/>
  <c r="D30" i="41"/>
  <c r="Q29" i="41"/>
  <c r="R29" i="41" s="1"/>
  <c r="P29" i="41"/>
  <c r="N29" i="41"/>
  <c r="L29" i="41"/>
  <c r="I29" i="41"/>
  <c r="J29" i="41" s="1"/>
  <c r="H29" i="41"/>
  <c r="F29" i="41"/>
  <c r="D29" i="41"/>
  <c r="Q28" i="41"/>
  <c r="R28" i="41" s="1"/>
  <c r="P28" i="41"/>
  <c r="N28" i="41"/>
  <c r="L28" i="41"/>
  <c r="I28" i="41"/>
  <c r="J28" i="41" s="1"/>
  <c r="H28" i="41"/>
  <c r="F28" i="41"/>
  <c r="D28" i="41"/>
  <c r="Q27" i="41"/>
  <c r="R27" i="41" s="1"/>
  <c r="P27" i="41"/>
  <c r="N27" i="41"/>
  <c r="L27" i="41"/>
  <c r="I27" i="41"/>
  <c r="J27" i="41" s="1"/>
  <c r="H27" i="41"/>
  <c r="F27" i="41"/>
  <c r="D27" i="41"/>
  <c r="Q26" i="41"/>
  <c r="R26" i="41" s="1"/>
  <c r="P26" i="41"/>
  <c r="N26" i="41"/>
  <c r="L26" i="41"/>
  <c r="I26" i="41"/>
  <c r="J26" i="41" s="1"/>
  <c r="H26" i="41"/>
  <c r="F26" i="41"/>
  <c r="D26" i="41"/>
  <c r="Q25" i="41"/>
  <c r="R25" i="41" s="1"/>
  <c r="P25" i="41"/>
  <c r="N25" i="41"/>
  <c r="L25" i="41"/>
  <c r="I25" i="41"/>
  <c r="J25" i="41" s="1"/>
  <c r="H25" i="41"/>
  <c r="F25" i="41"/>
  <c r="D25" i="41"/>
  <c r="Q24" i="41"/>
  <c r="R24" i="41" s="1"/>
  <c r="P24" i="41"/>
  <c r="N24" i="41"/>
  <c r="L24" i="41"/>
  <c r="I24" i="41"/>
  <c r="J24" i="41" s="1"/>
  <c r="H24" i="41"/>
  <c r="F24" i="41"/>
  <c r="D24" i="41"/>
  <c r="Q23" i="41"/>
  <c r="R23" i="41" s="1"/>
  <c r="P23" i="41"/>
  <c r="N23" i="41"/>
  <c r="L23" i="41"/>
  <c r="I23" i="41"/>
  <c r="J23" i="41" s="1"/>
  <c r="H23" i="41"/>
  <c r="F23" i="41"/>
  <c r="D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Q15" i="41"/>
  <c r="P15" i="41"/>
  <c r="P87" i="42" s="1"/>
  <c r="N15" i="41"/>
  <c r="N87" i="42" s="1"/>
  <c r="L15" i="41"/>
  <c r="L87" i="42" s="1"/>
  <c r="I15" i="41"/>
  <c r="H15" i="41"/>
  <c r="H87" i="42" s="1"/>
  <c r="F15" i="41"/>
  <c r="F87" i="42" s="1"/>
  <c r="D15" i="41"/>
  <c r="D87" i="42" s="1"/>
  <c r="Q14" i="41"/>
  <c r="P14" i="41"/>
  <c r="P86" i="42" s="1"/>
  <c r="N14" i="41"/>
  <c r="N86" i="42" s="1"/>
  <c r="L14" i="41"/>
  <c r="L86" i="42" s="1"/>
  <c r="I14" i="41"/>
  <c r="H14" i="41"/>
  <c r="H86" i="42" s="1"/>
  <c r="F14" i="41"/>
  <c r="F86" i="42" s="1"/>
  <c r="D14" i="41"/>
  <c r="D86" i="42" s="1"/>
  <c r="Q13" i="41"/>
  <c r="P13" i="41"/>
  <c r="P85" i="42" s="1"/>
  <c r="N13" i="41"/>
  <c r="N85" i="42" s="1"/>
  <c r="L13" i="41"/>
  <c r="L85" i="42" s="1"/>
  <c r="I13" i="41"/>
  <c r="H13" i="41"/>
  <c r="H85" i="42" s="1"/>
  <c r="F13" i="41"/>
  <c r="F85" i="42" s="1"/>
  <c r="D13" i="41"/>
  <c r="D85" i="42" s="1"/>
  <c r="Q12" i="41"/>
  <c r="P12" i="41"/>
  <c r="P84" i="42" s="1"/>
  <c r="N12" i="41"/>
  <c r="N84" i="42" s="1"/>
  <c r="L12" i="41"/>
  <c r="L84" i="42" s="1"/>
  <c r="I12" i="41"/>
  <c r="H12" i="41"/>
  <c r="H84" i="42" s="1"/>
  <c r="F12" i="41"/>
  <c r="F84" i="42" s="1"/>
  <c r="D12" i="41"/>
  <c r="D84" i="42" s="1"/>
  <c r="Q11" i="41"/>
  <c r="P11" i="41"/>
  <c r="P83" i="42" s="1"/>
  <c r="N11" i="41"/>
  <c r="N83" i="42" s="1"/>
  <c r="L11" i="41"/>
  <c r="L83" i="42" s="1"/>
  <c r="I11" i="41"/>
  <c r="H11" i="41"/>
  <c r="H83" i="42" s="1"/>
  <c r="F11" i="41"/>
  <c r="F83" i="42" s="1"/>
  <c r="D11" i="41"/>
  <c r="D83" i="42" s="1"/>
  <c r="Q10" i="41"/>
  <c r="P10" i="41"/>
  <c r="P82" i="42" s="1"/>
  <c r="N10" i="41"/>
  <c r="N82" i="42" s="1"/>
  <c r="L10" i="41"/>
  <c r="L82" i="42" s="1"/>
  <c r="I10" i="41"/>
  <c r="H10" i="41"/>
  <c r="H82" i="42" s="1"/>
  <c r="F10" i="41"/>
  <c r="F82" i="42" s="1"/>
  <c r="D10" i="41"/>
  <c r="D82" i="42" s="1"/>
  <c r="Q9" i="41"/>
  <c r="P9" i="41"/>
  <c r="P81" i="42" s="1"/>
  <c r="N9" i="41"/>
  <c r="N81" i="42" s="1"/>
  <c r="L9" i="41"/>
  <c r="L81" i="42" s="1"/>
  <c r="I9" i="41"/>
  <c r="H9" i="41"/>
  <c r="H81" i="42" s="1"/>
  <c r="F9" i="41"/>
  <c r="F81" i="42" s="1"/>
  <c r="D9" i="41"/>
  <c r="D81" i="42" s="1"/>
  <c r="Q8" i="41"/>
  <c r="P8" i="41"/>
  <c r="P80" i="42" s="1"/>
  <c r="N8" i="41"/>
  <c r="N80" i="42" s="1"/>
  <c r="L8" i="41"/>
  <c r="L80" i="42" s="1"/>
  <c r="I8" i="41"/>
  <c r="H8" i="41"/>
  <c r="H80" i="42" s="1"/>
  <c r="F8" i="41"/>
  <c r="F80" i="42" s="1"/>
  <c r="D8" i="41"/>
  <c r="D80" i="42" s="1"/>
  <c r="Q7" i="41"/>
  <c r="P7" i="41"/>
  <c r="P79" i="42" s="1"/>
  <c r="N7" i="41"/>
  <c r="N79" i="42" s="1"/>
  <c r="L7" i="41"/>
  <c r="L79" i="42" s="1"/>
  <c r="I7" i="41"/>
  <c r="H7" i="41"/>
  <c r="H79" i="42" s="1"/>
  <c r="F7" i="41"/>
  <c r="F79" i="42" s="1"/>
  <c r="D7" i="41"/>
  <c r="D79" i="42" s="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A3" i="41"/>
  <c r="A2" i="41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M12" i="34" s="1"/>
  <c r="L11" i="34"/>
  <c r="L10" i="34"/>
  <c r="L9" i="34"/>
  <c r="L8" i="34"/>
  <c r="L7" i="34"/>
  <c r="R7" i="34" s="1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J15" i="34" s="1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E42" i="34" s="1"/>
  <c r="B21" i="40"/>
  <c r="P20" i="40"/>
  <c r="P19" i="40"/>
  <c r="P17" i="40"/>
  <c r="P15" i="40"/>
  <c r="P14" i="40"/>
  <c r="O14" i="40"/>
  <c r="M14" i="40"/>
  <c r="K14" i="40"/>
  <c r="I14" i="40"/>
  <c r="H14" i="40"/>
  <c r="F14" i="40"/>
  <c r="D14" i="40"/>
  <c r="O41" i="6"/>
  <c r="M41" i="6"/>
  <c r="K41" i="6"/>
  <c r="G41" i="6"/>
  <c r="E41" i="6"/>
  <c r="C41" i="6"/>
  <c r="B41" i="6"/>
  <c r="Q40" i="6"/>
  <c r="R40" i="6" s="1"/>
  <c r="P40" i="6"/>
  <c r="N40" i="6"/>
  <c r="L40" i="6"/>
  <c r="I40" i="6"/>
  <c r="J40" i="6" s="1"/>
  <c r="H40" i="6"/>
  <c r="F40" i="6"/>
  <c r="D40" i="6"/>
  <c r="Q39" i="6"/>
  <c r="R39" i="6" s="1"/>
  <c r="P39" i="6"/>
  <c r="N39" i="6"/>
  <c r="L39" i="6"/>
  <c r="I39" i="6"/>
  <c r="J39" i="6" s="1"/>
  <c r="H39" i="6"/>
  <c r="F39" i="6"/>
  <c r="D39" i="6"/>
  <c r="B45" i="4"/>
  <c r="N45" i="4" s="1"/>
  <c r="Q44" i="4"/>
  <c r="R44" i="4" s="1"/>
  <c r="I44" i="4"/>
  <c r="J44" i="4" s="1"/>
  <c r="Q43" i="4"/>
  <c r="R43" i="4" s="1"/>
  <c r="I43" i="4"/>
  <c r="J43" i="4" s="1"/>
  <c r="E36" i="34"/>
  <c r="C32" i="34"/>
  <c r="E32" i="34" s="1"/>
  <c r="E31" i="34"/>
  <c r="C28" i="34"/>
  <c r="E28" i="34" s="1"/>
  <c r="E27" i="34"/>
  <c r="C8" i="34"/>
  <c r="C24" i="34"/>
  <c r="E24" i="34" s="1"/>
  <c r="C23" i="34"/>
  <c r="E23" i="34" s="1"/>
  <c r="C22" i="34"/>
  <c r="E22" i="34" s="1"/>
  <c r="C21" i="34"/>
  <c r="E21" i="34" s="1"/>
  <c r="E20" i="34"/>
  <c r="R16" i="34"/>
  <c r="R14" i="34"/>
  <c r="J16" i="34"/>
  <c r="J14" i="34"/>
  <c r="E16" i="34"/>
  <c r="G16" i="34" s="1"/>
  <c r="Q16" i="34" s="1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K15" i="34" l="1"/>
  <c r="M15" i="34"/>
  <c r="K14" i="34"/>
  <c r="M14" i="34"/>
  <c r="O7" i="34"/>
  <c r="R15" i="34"/>
  <c r="S15" i="34" s="1"/>
  <c r="I45" i="4"/>
  <c r="J8" i="34"/>
  <c r="J12" i="34"/>
  <c r="J6" i="34"/>
  <c r="K6" i="34" s="1"/>
  <c r="J5" i="34"/>
  <c r="K5" i="34" s="1"/>
  <c r="C191" i="42"/>
  <c r="E191" i="42"/>
  <c r="I191" i="42"/>
  <c r="J140" i="42"/>
  <c r="I140" i="42"/>
  <c r="D18" i="41"/>
  <c r="D90" i="42" s="1"/>
  <c r="H18" i="41"/>
  <c r="H90" i="42" s="1"/>
  <c r="N18" i="41"/>
  <c r="N90" i="42" s="1"/>
  <c r="G191" i="42"/>
  <c r="K191" i="42"/>
  <c r="R140" i="42"/>
  <c r="Q140" i="42"/>
  <c r="F18" i="41"/>
  <c r="F90" i="42" s="1"/>
  <c r="L18" i="41"/>
  <c r="L90" i="42" s="1"/>
  <c r="I118" i="42"/>
  <c r="R16" i="41"/>
  <c r="R88" i="42" s="1"/>
  <c r="Q88" i="42"/>
  <c r="R7" i="41"/>
  <c r="R79" i="42" s="1"/>
  <c r="Q79" i="42"/>
  <c r="R8" i="41"/>
  <c r="R80" i="42" s="1"/>
  <c r="Q80" i="42"/>
  <c r="R9" i="41"/>
  <c r="R81" i="42" s="1"/>
  <c r="Q81" i="42"/>
  <c r="R10" i="41"/>
  <c r="R82" i="42" s="1"/>
  <c r="Q82" i="42"/>
  <c r="R11" i="41"/>
  <c r="R83" i="42" s="1"/>
  <c r="Q83" i="42"/>
  <c r="R12" i="41"/>
  <c r="R84" i="42" s="1"/>
  <c r="Q84" i="42"/>
  <c r="R13" i="41"/>
  <c r="R85" i="42" s="1"/>
  <c r="Q85" i="42"/>
  <c r="R14" i="41"/>
  <c r="R86" i="42" s="1"/>
  <c r="Q86" i="42"/>
  <c r="R15" i="41"/>
  <c r="R87" i="42" s="1"/>
  <c r="Q87" i="42"/>
  <c r="R17" i="41"/>
  <c r="R89" i="42" s="1"/>
  <c r="Q89" i="42"/>
  <c r="J7" i="41"/>
  <c r="J79" i="42" s="1"/>
  <c r="I79" i="42"/>
  <c r="J8" i="41"/>
  <c r="J80" i="42" s="1"/>
  <c r="I80" i="42"/>
  <c r="J9" i="41"/>
  <c r="J81" i="42" s="1"/>
  <c r="I81" i="42"/>
  <c r="J10" i="41"/>
  <c r="J82" i="42" s="1"/>
  <c r="I82" i="42"/>
  <c r="J11" i="41"/>
  <c r="J83" i="42" s="1"/>
  <c r="I83" i="42"/>
  <c r="J12" i="41"/>
  <c r="J84" i="42" s="1"/>
  <c r="I84" i="42"/>
  <c r="J13" i="41"/>
  <c r="J85" i="42" s="1"/>
  <c r="I85" i="42"/>
  <c r="J14" i="41"/>
  <c r="J86" i="42" s="1"/>
  <c r="I86" i="42"/>
  <c r="J15" i="41"/>
  <c r="J87" i="42" s="1"/>
  <c r="I87" i="42"/>
  <c r="J17" i="41"/>
  <c r="J89" i="42" s="1"/>
  <c r="I89" i="42"/>
  <c r="J16" i="41"/>
  <c r="J88" i="42" s="1"/>
  <c r="I88" i="42"/>
  <c r="I90" i="42"/>
  <c r="J18" i="41"/>
  <c r="J90" i="42" s="1"/>
  <c r="Q75" i="42"/>
  <c r="I75" i="42"/>
  <c r="I45" i="42"/>
  <c r="I38" i="42"/>
  <c r="I29" i="42"/>
  <c r="I59" i="42"/>
  <c r="J7" i="19"/>
  <c r="J8" i="42" s="1"/>
  <c r="I8" i="42"/>
  <c r="I100" i="42"/>
  <c r="M10" i="34"/>
  <c r="S14" i="34"/>
  <c r="S16" i="34"/>
  <c r="R11" i="34"/>
  <c r="S11" i="34" s="1"/>
  <c r="O14" i="34"/>
  <c r="O166" i="42"/>
  <c r="M186" i="42" s="1"/>
  <c r="M5" i="34"/>
  <c r="O5" i="34"/>
  <c r="K16" i="34"/>
  <c r="K12" i="34"/>
  <c r="O10" i="34"/>
  <c r="O12" i="34"/>
  <c r="P36" i="41"/>
  <c r="Q18" i="41"/>
  <c r="Q90" i="42" s="1"/>
  <c r="H45" i="4"/>
  <c r="J45" i="4"/>
  <c r="Q18" i="4"/>
  <c r="O18" i="4"/>
  <c r="M18" i="4"/>
  <c r="K18" i="4"/>
  <c r="I18" i="4"/>
  <c r="G18" i="4"/>
  <c r="E18" i="4"/>
  <c r="C18" i="4"/>
  <c r="D31" i="19"/>
  <c r="E9" i="34"/>
  <c r="G9" i="34" s="1"/>
  <c r="Q9" i="34" s="1"/>
  <c r="M11" i="34"/>
  <c r="R18" i="4"/>
  <c r="P18" i="4"/>
  <c r="N18" i="4"/>
  <c r="L18" i="4"/>
  <c r="J18" i="4"/>
  <c r="H18" i="4"/>
  <c r="F18" i="4"/>
  <c r="D18" i="4"/>
  <c r="E13" i="34"/>
  <c r="C41" i="34"/>
  <c r="E41" i="34" s="1"/>
  <c r="D17" i="34"/>
  <c r="H17" i="34"/>
  <c r="N17" i="34"/>
  <c r="Q45" i="4"/>
  <c r="R45" i="4" s="1"/>
  <c r="E11" i="34"/>
  <c r="G11" i="34" s="1"/>
  <c r="M13" i="34"/>
  <c r="O9" i="34"/>
  <c r="O11" i="34"/>
  <c r="O13" i="34"/>
  <c r="Q36" i="41"/>
  <c r="R36" i="41" s="1"/>
  <c r="C26" i="34"/>
  <c r="R9" i="34"/>
  <c r="S9" i="34" s="1"/>
  <c r="R13" i="34"/>
  <c r="S13" i="34" s="1"/>
  <c r="C17" i="34"/>
  <c r="C47" i="34"/>
  <c r="E47" i="34" s="1"/>
  <c r="F17" i="34"/>
  <c r="L17" i="34"/>
  <c r="P17" i="34"/>
  <c r="M6" i="34"/>
  <c r="O6" i="34"/>
  <c r="E39" i="34"/>
  <c r="O15" i="34"/>
  <c r="O8" i="34"/>
  <c r="E15" i="34"/>
  <c r="O4" i="34"/>
  <c r="C25" i="34"/>
  <c r="E25" i="34" s="1"/>
  <c r="J7" i="34"/>
  <c r="K7" i="34" s="1"/>
  <c r="J9" i="34"/>
  <c r="K9" i="34" s="1"/>
  <c r="J11" i="34"/>
  <c r="K11" i="34" s="1"/>
  <c r="J13" i="34"/>
  <c r="K13" i="34" s="1"/>
  <c r="J10" i="34"/>
  <c r="K10" i="34" s="1"/>
  <c r="R8" i="34"/>
  <c r="S8" i="34" s="1"/>
  <c r="R10" i="34"/>
  <c r="S10" i="34" s="1"/>
  <c r="R12" i="34"/>
  <c r="S12" i="34" s="1"/>
  <c r="P18" i="41"/>
  <c r="P90" i="42" s="1"/>
  <c r="I36" i="41"/>
  <c r="J36" i="41" s="1"/>
  <c r="D36" i="41"/>
  <c r="F36" i="41"/>
  <c r="H36" i="41"/>
  <c r="L36" i="41"/>
  <c r="N36" i="41"/>
  <c r="G14" i="34"/>
  <c r="Q14" i="34" s="1"/>
  <c r="F45" i="4"/>
  <c r="P45" i="4"/>
  <c r="F41" i="6"/>
  <c r="L41" i="6"/>
  <c r="P41" i="6"/>
  <c r="D41" i="6"/>
  <c r="H41" i="6"/>
  <c r="N41" i="6"/>
  <c r="P21" i="40"/>
  <c r="E12" i="34"/>
  <c r="G12" i="34" s="1"/>
  <c r="Q12" i="34" s="1"/>
  <c r="R6" i="34"/>
  <c r="S6" i="34" s="1"/>
  <c r="R5" i="34"/>
  <c r="S5" i="34" s="1"/>
  <c r="F21" i="40"/>
  <c r="O21" i="40"/>
  <c r="I21" i="40"/>
  <c r="H21" i="40"/>
  <c r="M21" i="40"/>
  <c r="D21" i="40"/>
  <c r="K21" i="40"/>
  <c r="I41" i="6"/>
  <c r="J41" i="6" s="1"/>
  <c r="Q41" i="6"/>
  <c r="R41" i="6" s="1"/>
  <c r="D45" i="4"/>
  <c r="L45" i="4"/>
  <c r="M8" i="34"/>
  <c r="E8" i="34"/>
  <c r="K8" i="34"/>
  <c r="M9" i="34"/>
  <c r="E5" i="34"/>
  <c r="S7" i="34"/>
  <c r="E6" i="34"/>
  <c r="G13" i="34"/>
  <c r="G15" i="34"/>
  <c r="I16" i="34"/>
  <c r="E10" i="34"/>
  <c r="E7" i="34"/>
  <c r="M7" i="34"/>
  <c r="D39" i="5"/>
  <c r="O41" i="5"/>
  <c r="M41" i="5"/>
  <c r="K41" i="5"/>
  <c r="G41" i="5"/>
  <c r="E41" i="5"/>
  <c r="C41" i="5"/>
  <c r="B41" i="5"/>
  <c r="Q40" i="5"/>
  <c r="R40" i="5" s="1"/>
  <c r="P40" i="5"/>
  <c r="N40" i="5"/>
  <c r="L40" i="5"/>
  <c r="I40" i="5"/>
  <c r="J40" i="5" s="1"/>
  <c r="H40" i="5"/>
  <c r="F40" i="5"/>
  <c r="D40" i="5"/>
  <c r="Q39" i="5"/>
  <c r="R39" i="5" s="1"/>
  <c r="P39" i="5"/>
  <c r="N39" i="5"/>
  <c r="L39" i="5"/>
  <c r="I39" i="5"/>
  <c r="J39" i="5" s="1"/>
  <c r="H39" i="5"/>
  <c r="F39" i="5"/>
  <c r="I11" i="5"/>
  <c r="I12" i="5"/>
  <c r="I13" i="5"/>
  <c r="I14" i="5"/>
  <c r="I15" i="5"/>
  <c r="I16" i="5"/>
  <c r="I17" i="5"/>
  <c r="I10" i="5"/>
  <c r="I125" i="42" s="1"/>
  <c r="I9" i="5"/>
  <c r="I124" i="42" s="1"/>
  <c r="I8" i="5"/>
  <c r="I123" i="42" s="1"/>
  <c r="I7" i="5"/>
  <c r="I122" i="42" s="1"/>
  <c r="I15" i="25"/>
  <c r="I14" i="25"/>
  <c r="I13" i="25"/>
  <c r="I69" i="42" s="1"/>
  <c r="Q20" i="9"/>
  <c r="R20" i="9" s="1"/>
  <c r="Q19" i="9"/>
  <c r="R19" i="9" s="1"/>
  <c r="Q18" i="9"/>
  <c r="R18" i="9" s="1"/>
  <c r="Q17" i="9"/>
  <c r="R17" i="9" s="1"/>
  <c r="Q16" i="9"/>
  <c r="R16" i="9" s="1"/>
  <c r="I20" i="9"/>
  <c r="J20" i="9" s="1"/>
  <c r="I19" i="9"/>
  <c r="J19" i="9" s="1"/>
  <c r="I18" i="9"/>
  <c r="J18" i="9" s="1"/>
  <c r="I17" i="9"/>
  <c r="J17" i="9" s="1"/>
  <c r="I16" i="9"/>
  <c r="J16" i="9" s="1"/>
  <c r="P20" i="9"/>
  <c r="P19" i="9"/>
  <c r="P18" i="9"/>
  <c r="P17" i="9"/>
  <c r="P16" i="9"/>
  <c r="N20" i="9"/>
  <c r="N19" i="9"/>
  <c r="N18" i="9"/>
  <c r="N17" i="9"/>
  <c r="N16" i="9"/>
  <c r="L20" i="9"/>
  <c r="L19" i="9"/>
  <c r="L18" i="9"/>
  <c r="L17" i="9"/>
  <c r="L16" i="9"/>
  <c r="H20" i="9"/>
  <c r="H19" i="9"/>
  <c r="H18" i="9"/>
  <c r="H17" i="9"/>
  <c r="H16" i="9"/>
  <c r="F20" i="9"/>
  <c r="F19" i="9"/>
  <c r="F18" i="9"/>
  <c r="F17" i="9"/>
  <c r="F16" i="9"/>
  <c r="D20" i="9"/>
  <c r="D19" i="9"/>
  <c r="D18" i="9"/>
  <c r="D17" i="9"/>
  <c r="D16" i="9"/>
  <c r="Q34" i="2"/>
  <c r="Q35" i="2"/>
  <c r="C6" i="3"/>
  <c r="D6" i="3"/>
  <c r="E6" i="3"/>
  <c r="E14" i="3" s="1"/>
  <c r="F6" i="3"/>
  <c r="G6" i="3"/>
  <c r="H6" i="3"/>
  <c r="I6" i="3"/>
  <c r="J6" i="3"/>
  <c r="K6" i="3"/>
  <c r="K14" i="3" s="1"/>
  <c r="L6" i="3"/>
  <c r="M6" i="3"/>
  <c r="N6" i="3"/>
  <c r="O6" i="3"/>
  <c r="O14" i="3" s="1"/>
  <c r="P6" i="3"/>
  <c r="Q6" i="3"/>
  <c r="R6" i="3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C19" i="19"/>
  <c r="C19" i="42" s="1"/>
  <c r="C7" i="42" s="1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B35" i="6"/>
  <c r="B106" i="42" s="1"/>
  <c r="Q34" i="6"/>
  <c r="P34" i="6"/>
  <c r="P105" i="42" s="1"/>
  <c r="N34" i="6"/>
  <c r="N105" i="42" s="1"/>
  <c r="L34" i="6"/>
  <c r="L105" i="42" s="1"/>
  <c r="I34" i="6"/>
  <c r="H34" i="6"/>
  <c r="H105" i="42" s="1"/>
  <c r="F34" i="6"/>
  <c r="F105" i="42" s="1"/>
  <c r="D34" i="6"/>
  <c r="D105" i="42" s="1"/>
  <c r="Q33" i="6"/>
  <c r="Q104" i="42" s="1"/>
  <c r="P33" i="6"/>
  <c r="P104" i="42" s="1"/>
  <c r="N33" i="6"/>
  <c r="N104" i="42" s="1"/>
  <c r="L33" i="6"/>
  <c r="L104" i="42" s="1"/>
  <c r="I33" i="6"/>
  <c r="I104" i="42" s="1"/>
  <c r="H33" i="6"/>
  <c r="H104" i="42" s="1"/>
  <c r="F33" i="6"/>
  <c r="F104" i="42" s="1"/>
  <c r="D33" i="6"/>
  <c r="D104" i="42" s="1"/>
  <c r="B20" i="39"/>
  <c r="B166" i="42" s="1"/>
  <c r="B186" i="42" s="1"/>
  <c r="B191" i="42" s="1"/>
  <c r="N19" i="39"/>
  <c r="N165" i="42" s="1"/>
  <c r="Q19" i="39"/>
  <c r="L19" i="39"/>
  <c r="L165" i="42" s="1"/>
  <c r="I19" i="39"/>
  <c r="I165" i="42" s="1"/>
  <c r="F19" i="39"/>
  <c r="F165" i="42" s="1"/>
  <c r="B15" i="39"/>
  <c r="B161" i="42" s="1"/>
  <c r="Q14" i="39"/>
  <c r="P14" i="39"/>
  <c r="P160" i="42" s="1"/>
  <c r="N14" i="39"/>
  <c r="N160" i="42" s="1"/>
  <c r="L14" i="39"/>
  <c r="L160" i="42" s="1"/>
  <c r="I14" i="39"/>
  <c r="H14" i="39"/>
  <c r="H160" i="42" s="1"/>
  <c r="F14" i="39"/>
  <c r="F160" i="42" s="1"/>
  <c r="D14" i="39"/>
  <c r="D160" i="42" s="1"/>
  <c r="Q13" i="39"/>
  <c r="P13" i="39"/>
  <c r="P159" i="42" s="1"/>
  <c r="N13" i="39"/>
  <c r="N159" i="42" s="1"/>
  <c r="L13" i="39"/>
  <c r="L159" i="42" s="1"/>
  <c r="I13" i="39"/>
  <c r="H13" i="39"/>
  <c r="H159" i="42" s="1"/>
  <c r="F13" i="39"/>
  <c r="F159" i="42" s="1"/>
  <c r="D13" i="39"/>
  <c r="D159" i="42" s="1"/>
  <c r="Q12" i="39"/>
  <c r="P12" i="39"/>
  <c r="P158" i="42" s="1"/>
  <c r="N12" i="39"/>
  <c r="N158" i="42" s="1"/>
  <c r="L12" i="39"/>
  <c r="L158" i="42" s="1"/>
  <c r="I12" i="39"/>
  <c r="H12" i="39"/>
  <c r="H158" i="42" s="1"/>
  <c r="F12" i="39"/>
  <c r="F158" i="42" s="1"/>
  <c r="D12" i="39"/>
  <c r="D158" i="42" s="1"/>
  <c r="Q11" i="39"/>
  <c r="P11" i="39"/>
  <c r="P157" i="42" s="1"/>
  <c r="N11" i="39"/>
  <c r="N157" i="42" s="1"/>
  <c r="L11" i="39"/>
  <c r="L157" i="42" s="1"/>
  <c r="I11" i="39"/>
  <c r="H11" i="39"/>
  <c r="H157" i="42" s="1"/>
  <c r="F11" i="39"/>
  <c r="F157" i="42" s="1"/>
  <c r="D11" i="39"/>
  <c r="D157" i="42" s="1"/>
  <c r="Q10" i="39"/>
  <c r="P10" i="39"/>
  <c r="P156" i="42" s="1"/>
  <c r="N10" i="39"/>
  <c r="N156" i="42" s="1"/>
  <c r="L10" i="39"/>
  <c r="L156" i="42" s="1"/>
  <c r="I10" i="39"/>
  <c r="H10" i="39"/>
  <c r="H156" i="42" s="1"/>
  <c r="F10" i="39"/>
  <c r="F156" i="42" s="1"/>
  <c r="D10" i="39"/>
  <c r="D156" i="42" s="1"/>
  <c r="Q9" i="39"/>
  <c r="P9" i="39"/>
  <c r="P155" i="42" s="1"/>
  <c r="N9" i="39"/>
  <c r="N155" i="42" s="1"/>
  <c r="L9" i="39"/>
  <c r="L155" i="42" s="1"/>
  <c r="I9" i="39"/>
  <c r="H9" i="39"/>
  <c r="H155" i="42" s="1"/>
  <c r="F9" i="39"/>
  <c r="F155" i="42" s="1"/>
  <c r="D9" i="39"/>
  <c r="D155" i="42" s="1"/>
  <c r="Q8" i="39"/>
  <c r="P8" i="39"/>
  <c r="P154" i="42" s="1"/>
  <c r="N8" i="39"/>
  <c r="N154" i="42" s="1"/>
  <c r="L8" i="39"/>
  <c r="L154" i="42" s="1"/>
  <c r="I8" i="39"/>
  <c r="H8" i="39"/>
  <c r="H154" i="42" s="1"/>
  <c r="F8" i="39"/>
  <c r="F154" i="42" s="1"/>
  <c r="D8" i="39"/>
  <c r="D154" i="42" s="1"/>
  <c r="Q7" i="39"/>
  <c r="N7" i="39"/>
  <c r="N153" i="42" s="1"/>
  <c r="L7" i="39"/>
  <c r="L153" i="42" s="1"/>
  <c r="I7" i="39"/>
  <c r="H7" i="39"/>
  <c r="H153" i="42" s="1"/>
  <c r="F7" i="39"/>
  <c r="F153" i="42" s="1"/>
  <c r="D7" i="39"/>
  <c r="D153" i="42" s="1"/>
  <c r="O21" i="9"/>
  <c r="M21" i="9"/>
  <c r="K21" i="9"/>
  <c r="G21" i="9"/>
  <c r="E21" i="9"/>
  <c r="C21" i="9"/>
  <c r="B21" i="9"/>
  <c r="P21" i="9" s="1"/>
  <c r="A3" i="9"/>
  <c r="D7" i="9"/>
  <c r="D144" i="42" s="1"/>
  <c r="F7" i="9"/>
  <c r="F144" i="42" s="1"/>
  <c r="H7" i="9"/>
  <c r="H144" i="42" s="1"/>
  <c r="I7" i="9"/>
  <c r="L7" i="9"/>
  <c r="L144" i="42" s="1"/>
  <c r="N7" i="9"/>
  <c r="N144" i="42" s="1"/>
  <c r="P7" i="9"/>
  <c r="P144" i="42" s="1"/>
  <c r="Q7" i="9"/>
  <c r="B12" i="9"/>
  <c r="B149" i="42" s="1"/>
  <c r="C12" i="9"/>
  <c r="E12" i="9"/>
  <c r="E149" i="42" s="1"/>
  <c r="G12" i="9"/>
  <c r="K12" i="9"/>
  <c r="M12" i="9"/>
  <c r="O12" i="9"/>
  <c r="B44" i="8"/>
  <c r="Q43" i="8"/>
  <c r="R43" i="8" s="1"/>
  <c r="P43" i="8"/>
  <c r="N43" i="8"/>
  <c r="L43" i="8"/>
  <c r="I43" i="8"/>
  <c r="J43" i="8" s="1"/>
  <c r="H43" i="8"/>
  <c r="F43" i="8"/>
  <c r="P44" i="8"/>
  <c r="N44" i="8"/>
  <c r="Q44" i="8"/>
  <c r="H44" i="8"/>
  <c r="F44" i="8"/>
  <c r="Q42" i="8"/>
  <c r="R42" i="8" s="1"/>
  <c r="P42" i="8"/>
  <c r="N42" i="8"/>
  <c r="L42" i="8"/>
  <c r="I42" i="8"/>
  <c r="J42" i="8" s="1"/>
  <c r="H42" i="8"/>
  <c r="F42" i="8"/>
  <c r="Q41" i="8"/>
  <c r="R41" i="8" s="1"/>
  <c r="P41" i="8"/>
  <c r="N41" i="8"/>
  <c r="L41" i="8"/>
  <c r="I41" i="8"/>
  <c r="J41" i="8" s="1"/>
  <c r="H41" i="8"/>
  <c r="F41" i="8"/>
  <c r="Q40" i="8"/>
  <c r="R40" i="8" s="1"/>
  <c r="P40" i="8"/>
  <c r="N40" i="8"/>
  <c r="L40" i="8"/>
  <c r="I40" i="8"/>
  <c r="J40" i="8" s="1"/>
  <c r="H40" i="8"/>
  <c r="F40" i="8"/>
  <c r="Q39" i="8"/>
  <c r="R39" i="8" s="1"/>
  <c r="L39" i="8"/>
  <c r="I39" i="8"/>
  <c r="J39" i="8" s="1"/>
  <c r="Q38" i="8"/>
  <c r="R38" i="8" s="1"/>
  <c r="L38" i="8"/>
  <c r="I38" i="8"/>
  <c r="J38" i="8" s="1"/>
  <c r="Q37" i="8"/>
  <c r="R37" i="8" s="1"/>
  <c r="L37" i="8"/>
  <c r="I37" i="8"/>
  <c r="J37" i="8" s="1"/>
  <c r="Q36" i="8"/>
  <c r="R36" i="8" s="1"/>
  <c r="L36" i="8"/>
  <c r="I36" i="8"/>
  <c r="J36" i="8" s="1"/>
  <c r="B15" i="4"/>
  <c r="J15" i="4" s="1"/>
  <c r="J118" i="42" s="1"/>
  <c r="D14" i="4"/>
  <c r="D117" i="42" s="1"/>
  <c r="G39" i="4"/>
  <c r="B39" i="4"/>
  <c r="Q38" i="4"/>
  <c r="R38" i="4" s="1"/>
  <c r="I38" i="4"/>
  <c r="J38" i="4" s="1"/>
  <c r="Q37" i="4"/>
  <c r="R37" i="4" s="1"/>
  <c r="I37" i="4"/>
  <c r="J37" i="4" s="1"/>
  <c r="Q36" i="4"/>
  <c r="R36" i="4" s="1"/>
  <c r="I36" i="4"/>
  <c r="J36" i="4" s="1"/>
  <c r="Q35" i="4"/>
  <c r="R35" i="4" s="1"/>
  <c r="I35" i="4"/>
  <c r="J35" i="4" s="1"/>
  <c r="Q34" i="4"/>
  <c r="R34" i="4" s="1"/>
  <c r="I34" i="4"/>
  <c r="J34" i="4" s="1"/>
  <c r="Q33" i="4"/>
  <c r="R33" i="4" s="1"/>
  <c r="I33" i="4"/>
  <c r="J33" i="4" s="1"/>
  <c r="Q32" i="4"/>
  <c r="R32" i="4" s="1"/>
  <c r="I32" i="4"/>
  <c r="J32" i="4" s="1"/>
  <c r="Q11" i="25"/>
  <c r="Q12" i="25"/>
  <c r="Q13" i="25"/>
  <c r="Q14" i="25"/>
  <c r="Q15" i="25"/>
  <c r="Q16" i="25"/>
  <c r="Q17" i="25"/>
  <c r="Q18" i="25"/>
  <c r="I11" i="25"/>
  <c r="I12" i="25"/>
  <c r="J13" i="25"/>
  <c r="J69" i="42" s="1"/>
  <c r="I16" i="25"/>
  <c r="I17" i="25"/>
  <c r="I18" i="25"/>
  <c r="B19" i="25"/>
  <c r="R19" i="25" s="1"/>
  <c r="R75" i="42" s="1"/>
  <c r="H18" i="25"/>
  <c r="H74" i="42" s="1"/>
  <c r="L18" i="25"/>
  <c r="L74" i="42" s="1"/>
  <c r="N18" i="25"/>
  <c r="N74" i="42" s="1"/>
  <c r="P18" i="25"/>
  <c r="P74" i="42" s="1"/>
  <c r="H17" i="25"/>
  <c r="H73" i="42" s="1"/>
  <c r="L17" i="25"/>
  <c r="L73" i="42" s="1"/>
  <c r="N17" i="25"/>
  <c r="N73" i="42" s="1"/>
  <c r="P17" i="25"/>
  <c r="P73" i="42" s="1"/>
  <c r="H16" i="25"/>
  <c r="H72" i="42" s="1"/>
  <c r="L16" i="25"/>
  <c r="L72" i="42" s="1"/>
  <c r="N16" i="25"/>
  <c r="N72" i="42" s="1"/>
  <c r="P16" i="25"/>
  <c r="P72" i="42" s="1"/>
  <c r="H15" i="25"/>
  <c r="H71" i="42" s="1"/>
  <c r="L15" i="25"/>
  <c r="L71" i="42" s="1"/>
  <c r="N15" i="25"/>
  <c r="N71" i="42" s="1"/>
  <c r="P15" i="25"/>
  <c r="P71" i="42" s="1"/>
  <c r="H14" i="25"/>
  <c r="H70" i="42" s="1"/>
  <c r="L14" i="25"/>
  <c r="L70" i="42" s="1"/>
  <c r="N14" i="25"/>
  <c r="N70" i="42" s="1"/>
  <c r="P14" i="25"/>
  <c r="P70" i="42" s="1"/>
  <c r="H13" i="25"/>
  <c r="H69" i="42" s="1"/>
  <c r="L13" i="25"/>
  <c r="L69" i="42" s="1"/>
  <c r="N13" i="25"/>
  <c r="N69" i="42" s="1"/>
  <c r="P13" i="25"/>
  <c r="P69" i="42" s="1"/>
  <c r="H12" i="25"/>
  <c r="H68" i="42" s="1"/>
  <c r="L12" i="25"/>
  <c r="L68" i="42" s="1"/>
  <c r="N12" i="25"/>
  <c r="N68" i="42" s="1"/>
  <c r="P12" i="25"/>
  <c r="P68" i="42" s="1"/>
  <c r="D11" i="25"/>
  <c r="D67" i="42" s="1"/>
  <c r="F11" i="25"/>
  <c r="F67" i="42" s="1"/>
  <c r="H11" i="25"/>
  <c r="H67" i="42" s="1"/>
  <c r="L11" i="25"/>
  <c r="L67" i="42" s="1"/>
  <c r="N11" i="25"/>
  <c r="N67" i="42" s="1"/>
  <c r="P11" i="25"/>
  <c r="P67" i="42" s="1"/>
  <c r="F8" i="25"/>
  <c r="F64" i="42" s="1"/>
  <c r="F9" i="25"/>
  <c r="F65" i="42" s="1"/>
  <c r="F10" i="25"/>
  <c r="F66" i="42" s="1"/>
  <c r="F12" i="25"/>
  <c r="F68" i="42" s="1"/>
  <c r="F13" i="25"/>
  <c r="F69" i="42" s="1"/>
  <c r="F14" i="25"/>
  <c r="F70" i="42" s="1"/>
  <c r="F15" i="25"/>
  <c r="F71" i="42" s="1"/>
  <c r="F16" i="25"/>
  <c r="F72" i="42" s="1"/>
  <c r="F17" i="25"/>
  <c r="F73" i="42" s="1"/>
  <c r="F18" i="25"/>
  <c r="F74" i="42" s="1"/>
  <c r="D8" i="25"/>
  <c r="D64" i="42" s="1"/>
  <c r="D9" i="25"/>
  <c r="D65" i="42" s="1"/>
  <c r="D10" i="25"/>
  <c r="D66" i="42" s="1"/>
  <c r="D12" i="25"/>
  <c r="D68" i="42" s="1"/>
  <c r="D13" i="25"/>
  <c r="D69" i="42" s="1"/>
  <c r="D14" i="25"/>
  <c r="D70" i="42" s="1"/>
  <c r="D15" i="25"/>
  <c r="D71" i="42" s="1"/>
  <c r="D16" i="25"/>
  <c r="D72" i="42" s="1"/>
  <c r="D17" i="25"/>
  <c r="D73" i="42" s="1"/>
  <c r="D18" i="25"/>
  <c r="D74" i="42" s="1"/>
  <c r="Q8" i="25"/>
  <c r="Q9" i="25"/>
  <c r="Q10" i="25"/>
  <c r="P8" i="25"/>
  <c r="P64" i="42" s="1"/>
  <c r="P9" i="25"/>
  <c r="P65" i="42" s="1"/>
  <c r="P10" i="25"/>
  <c r="P66" i="42" s="1"/>
  <c r="N8" i="25"/>
  <c r="N64" i="42" s="1"/>
  <c r="N9" i="25"/>
  <c r="N65" i="42" s="1"/>
  <c r="N10" i="25"/>
  <c r="N66" i="42" s="1"/>
  <c r="L8" i="25"/>
  <c r="L64" i="42" s="1"/>
  <c r="L9" i="25"/>
  <c r="L65" i="42" s="1"/>
  <c r="L10" i="25"/>
  <c r="L66" i="42" s="1"/>
  <c r="I8" i="25"/>
  <c r="I9" i="25"/>
  <c r="I65" i="42" s="1"/>
  <c r="I10" i="25"/>
  <c r="J9" i="25"/>
  <c r="J65" i="42" s="1"/>
  <c r="H8" i="25"/>
  <c r="H64" i="42" s="1"/>
  <c r="H9" i="25"/>
  <c r="H65" i="42" s="1"/>
  <c r="H10" i="25"/>
  <c r="H66" i="42" s="1"/>
  <c r="B32" i="8"/>
  <c r="Q30" i="8"/>
  <c r="R30" i="8" s="1"/>
  <c r="Q31" i="8"/>
  <c r="R31" i="8" s="1"/>
  <c r="P30" i="8"/>
  <c r="P31" i="8"/>
  <c r="N30" i="8"/>
  <c r="N31" i="8"/>
  <c r="L30" i="8"/>
  <c r="L31" i="8"/>
  <c r="I30" i="8"/>
  <c r="J30" i="8" s="1"/>
  <c r="I31" i="8"/>
  <c r="J31" i="8" s="1"/>
  <c r="H30" i="8"/>
  <c r="H31" i="8"/>
  <c r="F30" i="8"/>
  <c r="F31" i="8"/>
  <c r="D30" i="8"/>
  <c r="D31" i="8"/>
  <c r="B17" i="8"/>
  <c r="Q12" i="8"/>
  <c r="Q13" i="8"/>
  <c r="Q14" i="8"/>
  <c r="Q15" i="8"/>
  <c r="Q16" i="8"/>
  <c r="P12" i="8"/>
  <c r="P54" i="42" s="1"/>
  <c r="P13" i="8"/>
  <c r="P55" i="42" s="1"/>
  <c r="P14" i="8"/>
  <c r="P56" i="42" s="1"/>
  <c r="P15" i="8"/>
  <c r="P57" i="42" s="1"/>
  <c r="P16" i="8"/>
  <c r="P58" i="42" s="1"/>
  <c r="N12" i="8"/>
  <c r="N54" i="42" s="1"/>
  <c r="N13" i="8"/>
  <c r="N55" i="42" s="1"/>
  <c r="N14" i="8"/>
  <c r="N56" i="42" s="1"/>
  <c r="N15" i="8"/>
  <c r="N57" i="42" s="1"/>
  <c r="N16" i="8"/>
  <c r="N58" i="42" s="1"/>
  <c r="L12" i="8"/>
  <c r="L54" i="42" s="1"/>
  <c r="L13" i="8"/>
  <c r="L55" i="42" s="1"/>
  <c r="L14" i="8"/>
  <c r="L56" i="42" s="1"/>
  <c r="L15" i="8"/>
  <c r="L57" i="42" s="1"/>
  <c r="L16" i="8"/>
  <c r="L58" i="42" s="1"/>
  <c r="I12" i="8"/>
  <c r="I13" i="8"/>
  <c r="I14" i="8"/>
  <c r="I15" i="8"/>
  <c r="I16" i="8"/>
  <c r="H12" i="8"/>
  <c r="H54" i="42" s="1"/>
  <c r="H13" i="8"/>
  <c r="H55" i="42" s="1"/>
  <c r="H14" i="8"/>
  <c r="H56" i="42" s="1"/>
  <c r="H15" i="8"/>
  <c r="H57" i="42" s="1"/>
  <c r="H16" i="8"/>
  <c r="H58" i="42" s="1"/>
  <c r="F12" i="8"/>
  <c r="F54" i="42" s="1"/>
  <c r="F13" i="8"/>
  <c r="F55" i="42" s="1"/>
  <c r="F14" i="8"/>
  <c r="F56" i="42" s="1"/>
  <c r="F15" i="8"/>
  <c r="F57" i="42" s="1"/>
  <c r="F16" i="8"/>
  <c r="F58" i="42" s="1"/>
  <c r="D12" i="8"/>
  <c r="D54" i="42" s="1"/>
  <c r="D13" i="8"/>
  <c r="D55" i="42" s="1"/>
  <c r="D14" i="8"/>
  <c r="D56" i="42" s="1"/>
  <c r="D15" i="8"/>
  <c r="D57" i="42" s="1"/>
  <c r="D16" i="8"/>
  <c r="D58" i="42" s="1"/>
  <c r="B16" i="7"/>
  <c r="F15" i="7"/>
  <c r="F28" i="42" s="1"/>
  <c r="Q13" i="7"/>
  <c r="Q14" i="7"/>
  <c r="Q15" i="7"/>
  <c r="P13" i="7"/>
  <c r="P26" i="42" s="1"/>
  <c r="P14" i="7"/>
  <c r="P27" i="42" s="1"/>
  <c r="P15" i="7"/>
  <c r="P28" i="42" s="1"/>
  <c r="N13" i="7"/>
  <c r="N26" i="42" s="1"/>
  <c r="N14" i="7"/>
  <c r="N27" i="42" s="1"/>
  <c r="N15" i="7"/>
  <c r="N28" i="42" s="1"/>
  <c r="L13" i="7"/>
  <c r="L26" i="42" s="1"/>
  <c r="L14" i="7"/>
  <c r="L27" i="42" s="1"/>
  <c r="L15" i="7"/>
  <c r="L28" i="42" s="1"/>
  <c r="I13" i="7"/>
  <c r="I14" i="7"/>
  <c r="I15" i="7"/>
  <c r="H13" i="7"/>
  <c r="H26" i="42" s="1"/>
  <c r="H15" i="7"/>
  <c r="H28" i="42" s="1"/>
  <c r="F13" i="7"/>
  <c r="F26" i="42" s="1"/>
  <c r="D13" i="7"/>
  <c r="D26" i="42" s="1"/>
  <c r="D14" i="7"/>
  <c r="D27" i="42" s="1"/>
  <c r="D15" i="7"/>
  <c r="D28" i="42" s="1"/>
  <c r="B29" i="6"/>
  <c r="Q28" i="6"/>
  <c r="R28" i="6" s="1"/>
  <c r="P28" i="6"/>
  <c r="N28" i="6"/>
  <c r="L28" i="6"/>
  <c r="I28" i="6"/>
  <c r="J28" i="6" s="1"/>
  <c r="H28" i="6"/>
  <c r="F28" i="6"/>
  <c r="D28" i="6"/>
  <c r="Q27" i="19"/>
  <c r="R27" i="19" s="1"/>
  <c r="Q28" i="19"/>
  <c r="R28" i="19" s="1"/>
  <c r="Q29" i="19"/>
  <c r="R29" i="19" s="1"/>
  <c r="Q30" i="19"/>
  <c r="R30" i="19" s="1"/>
  <c r="I31" i="19"/>
  <c r="J31" i="19" s="1"/>
  <c r="Q26" i="19"/>
  <c r="R26" i="19" s="1"/>
  <c r="J25" i="19"/>
  <c r="J24" i="19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 s="1"/>
  <c r="Q32" i="5"/>
  <c r="R32" i="5" s="1"/>
  <c r="Q33" i="5"/>
  <c r="R33" i="5" s="1"/>
  <c r="I33" i="5"/>
  <c r="J33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Q11" i="5"/>
  <c r="Q12" i="5"/>
  <c r="Q13" i="5"/>
  <c r="Q14" i="5"/>
  <c r="Q15" i="5"/>
  <c r="Q16" i="5"/>
  <c r="Q17" i="5"/>
  <c r="B15" i="19"/>
  <c r="B34" i="5"/>
  <c r="P33" i="5"/>
  <c r="N33" i="5"/>
  <c r="L33" i="5"/>
  <c r="H33" i="5"/>
  <c r="F33" i="5"/>
  <c r="D33" i="5"/>
  <c r="P32" i="5"/>
  <c r="N32" i="5"/>
  <c r="L32" i="5"/>
  <c r="H32" i="5"/>
  <c r="F32" i="5"/>
  <c r="D32" i="5"/>
  <c r="P31" i="5"/>
  <c r="N31" i="5"/>
  <c r="L31" i="5"/>
  <c r="H31" i="5"/>
  <c r="F31" i="5"/>
  <c r="D31" i="5"/>
  <c r="P30" i="5"/>
  <c r="N30" i="5"/>
  <c r="L30" i="5"/>
  <c r="H30" i="5"/>
  <c r="F30" i="5"/>
  <c r="D30" i="5"/>
  <c r="P29" i="5"/>
  <c r="N29" i="5"/>
  <c r="L29" i="5"/>
  <c r="H29" i="5"/>
  <c r="F29" i="5"/>
  <c r="D29" i="5"/>
  <c r="P28" i="5"/>
  <c r="N28" i="5"/>
  <c r="L28" i="5"/>
  <c r="H28" i="5"/>
  <c r="F28" i="5"/>
  <c r="D28" i="5"/>
  <c r="P27" i="5"/>
  <c r="N27" i="5"/>
  <c r="L27" i="5"/>
  <c r="H27" i="5"/>
  <c r="F27" i="5"/>
  <c r="D27" i="5"/>
  <c r="P26" i="5"/>
  <c r="N26" i="5"/>
  <c r="L26" i="5"/>
  <c r="H26" i="5"/>
  <c r="F26" i="5"/>
  <c r="D26" i="5"/>
  <c r="Q25" i="5"/>
  <c r="R25" i="5" s="1"/>
  <c r="P25" i="5"/>
  <c r="N25" i="5"/>
  <c r="L25" i="5"/>
  <c r="I25" i="5"/>
  <c r="J25" i="5" s="1"/>
  <c r="H25" i="5"/>
  <c r="F25" i="5"/>
  <c r="D25" i="5"/>
  <c r="Q24" i="5"/>
  <c r="R24" i="5" s="1"/>
  <c r="P24" i="5"/>
  <c r="N24" i="5"/>
  <c r="L24" i="5"/>
  <c r="I24" i="5"/>
  <c r="J24" i="5" s="1"/>
  <c r="H24" i="5"/>
  <c r="F24" i="5"/>
  <c r="D24" i="5"/>
  <c r="Q23" i="5"/>
  <c r="R23" i="5" s="1"/>
  <c r="P23" i="5"/>
  <c r="N23" i="5"/>
  <c r="L23" i="5"/>
  <c r="I23" i="5"/>
  <c r="J23" i="5" s="1"/>
  <c r="H23" i="5"/>
  <c r="F23" i="5"/>
  <c r="D23" i="5"/>
  <c r="B18" i="5"/>
  <c r="B133" i="42" s="1"/>
  <c r="D17" i="5"/>
  <c r="D132" i="42" s="1"/>
  <c r="F17" i="5"/>
  <c r="F132" i="42" s="1"/>
  <c r="H17" i="5"/>
  <c r="H132" i="42" s="1"/>
  <c r="L17" i="5"/>
  <c r="L132" i="42" s="1"/>
  <c r="N17" i="5"/>
  <c r="N132" i="42" s="1"/>
  <c r="P17" i="5"/>
  <c r="P132" i="42" s="1"/>
  <c r="D16" i="5"/>
  <c r="D131" i="42" s="1"/>
  <c r="F16" i="5"/>
  <c r="F131" i="42" s="1"/>
  <c r="H16" i="5"/>
  <c r="H131" i="42" s="1"/>
  <c r="L16" i="5"/>
  <c r="L131" i="42" s="1"/>
  <c r="N16" i="5"/>
  <c r="N131" i="42" s="1"/>
  <c r="P16" i="5"/>
  <c r="P131" i="42" s="1"/>
  <c r="D15" i="5"/>
  <c r="D130" i="42" s="1"/>
  <c r="F15" i="5"/>
  <c r="F130" i="42" s="1"/>
  <c r="H15" i="5"/>
  <c r="H130" i="42" s="1"/>
  <c r="L15" i="5"/>
  <c r="L130" i="42" s="1"/>
  <c r="N15" i="5"/>
  <c r="N130" i="42" s="1"/>
  <c r="P15" i="5"/>
  <c r="P130" i="42" s="1"/>
  <c r="D14" i="5"/>
  <c r="D129" i="42" s="1"/>
  <c r="F14" i="5"/>
  <c r="F129" i="42" s="1"/>
  <c r="H14" i="5"/>
  <c r="H129" i="42" s="1"/>
  <c r="L14" i="5"/>
  <c r="L129" i="42" s="1"/>
  <c r="N14" i="5"/>
  <c r="N129" i="42" s="1"/>
  <c r="P14" i="5"/>
  <c r="P129" i="42" s="1"/>
  <c r="D13" i="5"/>
  <c r="D128" i="42" s="1"/>
  <c r="F13" i="5"/>
  <c r="F128" i="42" s="1"/>
  <c r="H13" i="5"/>
  <c r="H128" i="42" s="1"/>
  <c r="L13" i="5"/>
  <c r="L128" i="42" s="1"/>
  <c r="N13" i="5"/>
  <c r="N128" i="42" s="1"/>
  <c r="P13" i="5"/>
  <c r="P128" i="42" s="1"/>
  <c r="D12" i="5"/>
  <c r="D127" i="42" s="1"/>
  <c r="F12" i="5"/>
  <c r="F127" i="42" s="1"/>
  <c r="H12" i="5"/>
  <c r="H127" i="42" s="1"/>
  <c r="L12" i="5"/>
  <c r="L127" i="42" s="1"/>
  <c r="N12" i="5"/>
  <c r="N127" i="42" s="1"/>
  <c r="P12" i="5"/>
  <c r="P127" i="42" s="1"/>
  <c r="D11" i="5"/>
  <c r="D126" i="42" s="1"/>
  <c r="F11" i="5"/>
  <c r="F126" i="42" s="1"/>
  <c r="H11" i="5"/>
  <c r="H126" i="42" s="1"/>
  <c r="L11" i="5"/>
  <c r="L126" i="42" s="1"/>
  <c r="N11" i="5"/>
  <c r="N126" i="42" s="1"/>
  <c r="P11" i="5"/>
  <c r="P126" i="42" s="1"/>
  <c r="Q14" i="4"/>
  <c r="P14" i="4"/>
  <c r="P117" i="42" s="1"/>
  <c r="N14" i="4"/>
  <c r="N117" i="42" s="1"/>
  <c r="L14" i="4"/>
  <c r="L117" i="42" s="1"/>
  <c r="I14" i="4"/>
  <c r="H14" i="4"/>
  <c r="H117" i="42" s="1"/>
  <c r="F14" i="4"/>
  <c r="F117" i="42" s="1"/>
  <c r="Q13" i="4"/>
  <c r="P13" i="4"/>
  <c r="P116" i="42" s="1"/>
  <c r="N13" i="4"/>
  <c r="N116" i="42" s="1"/>
  <c r="L13" i="4"/>
  <c r="L116" i="42" s="1"/>
  <c r="I13" i="4"/>
  <c r="H13" i="4"/>
  <c r="H116" i="42" s="1"/>
  <c r="F13" i="4"/>
  <c r="F116" i="42" s="1"/>
  <c r="D13" i="4"/>
  <c r="D116" i="42" s="1"/>
  <c r="R18" i="41" l="1"/>
  <c r="R90" i="42" s="1"/>
  <c r="E17" i="34"/>
  <c r="J19" i="25"/>
  <c r="J75" i="42" s="1"/>
  <c r="B29" i="42"/>
  <c r="L16" i="7"/>
  <c r="L29" i="42" s="1"/>
  <c r="F16" i="7"/>
  <c r="F29" i="42" s="1"/>
  <c r="D16" i="7"/>
  <c r="D29" i="42" s="1"/>
  <c r="N16" i="7"/>
  <c r="N29" i="42" s="1"/>
  <c r="H16" i="7"/>
  <c r="H29" i="42" s="1"/>
  <c r="J34" i="6"/>
  <c r="J105" i="42" s="1"/>
  <c r="I105" i="42"/>
  <c r="R34" i="6"/>
  <c r="R105" i="42" s="1"/>
  <c r="Q105" i="42"/>
  <c r="R32" i="42"/>
  <c r="R19" i="42"/>
  <c r="P32" i="42"/>
  <c r="P19" i="42"/>
  <c r="N32" i="42"/>
  <c r="N19" i="42"/>
  <c r="L32" i="42"/>
  <c r="L19" i="42"/>
  <c r="J32" i="42"/>
  <c r="J19" i="42"/>
  <c r="H32" i="42"/>
  <c r="H19" i="42"/>
  <c r="F32" i="42"/>
  <c r="F19" i="42"/>
  <c r="D32" i="42"/>
  <c r="D19" i="42"/>
  <c r="N186" i="42"/>
  <c r="M191" i="42"/>
  <c r="N191" i="42" s="1"/>
  <c r="J16" i="7"/>
  <c r="L191" i="42"/>
  <c r="H191" i="42"/>
  <c r="J186" i="42"/>
  <c r="F186" i="42"/>
  <c r="D186" i="42"/>
  <c r="B16" i="42"/>
  <c r="N15" i="19"/>
  <c r="N16" i="42" s="1"/>
  <c r="L15" i="19"/>
  <c r="L16" i="42" s="1"/>
  <c r="F15" i="19"/>
  <c r="F16" i="42" s="1"/>
  <c r="D15" i="19"/>
  <c r="D16" i="42" s="1"/>
  <c r="P15" i="19"/>
  <c r="P16" i="42" s="1"/>
  <c r="H15" i="19"/>
  <c r="B75" i="42"/>
  <c r="N19" i="25"/>
  <c r="N75" i="42" s="1"/>
  <c r="F19" i="25"/>
  <c r="F75" i="42" s="1"/>
  <c r="D19" i="25"/>
  <c r="D75" i="42" s="1"/>
  <c r="P19" i="25"/>
  <c r="P75" i="42" s="1"/>
  <c r="L19" i="25"/>
  <c r="L75" i="42" s="1"/>
  <c r="H19" i="25"/>
  <c r="H75" i="42" s="1"/>
  <c r="B118" i="42"/>
  <c r="D15" i="4"/>
  <c r="D118" i="42" s="1"/>
  <c r="F12" i="9"/>
  <c r="F149" i="42" s="1"/>
  <c r="Q32" i="42"/>
  <c r="Q19" i="42"/>
  <c r="I32" i="42"/>
  <c r="I19" i="42"/>
  <c r="J15" i="19"/>
  <c r="L186" i="42"/>
  <c r="H186" i="42"/>
  <c r="J191" i="42"/>
  <c r="F191" i="42"/>
  <c r="D191" i="42"/>
  <c r="O186" i="42"/>
  <c r="P12" i="9"/>
  <c r="P149" i="42" s="1"/>
  <c r="O149" i="42"/>
  <c r="N12" i="9"/>
  <c r="N149" i="42" s="1"/>
  <c r="M149" i="42"/>
  <c r="L12" i="9"/>
  <c r="L149" i="42" s="1"/>
  <c r="K149" i="42"/>
  <c r="R7" i="9"/>
  <c r="R144" i="42" s="1"/>
  <c r="Q144" i="42"/>
  <c r="H12" i="9"/>
  <c r="H149" i="42" s="1"/>
  <c r="G149" i="42"/>
  <c r="D12" i="9"/>
  <c r="D149" i="42" s="1"/>
  <c r="C149" i="42"/>
  <c r="J7" i="9"/>
  <c r="J144" i="42" s="1"/>
  <c r="I144" i="42"/>
  <c r="R16" i="5"/>
  <c r="R131" i="42" s="1"/>
  <c r="Q131" i="42"/>
  <c r="R14" i="5"/>
  <c r="R129" i="42" s="1"/>
  <c r="Q129" i="42"/>
  <c r="R12" i="5"/>
  <c r="R127" i="42" s="1"/>
  <c r="Q127" i="42"/>
  <c r="R17" i="5"/>
  <c r="R132" i="42" s="1"/>
  <c r="Q132" i="42"/>
  <c r="R15" i="5"/>
  <c r="R130" i="42" s="1"/>
  <c r="Q130" i="42"/>
  <c r="R13" i="5"/>
  <c r="R128" i="42" s="1"/>
  <c r="Q128" i="42"/>
  <c r="R11" i="5"/>
  <c r="R126" i="42" s="1"/>
  <c r="Q126" i="42"/>
  <c r="J16" i="5"/>
  <c r="J131" i="42" s="1"/>
  <c r="I131" i="42"/>
  <c r="J14" i="5"/>
  <c r="J129" i="42" s="1"/>
  <c r="I129" i="42"/>
  <c r="J12" i="5"/>
  <c r="J127" i="42" s="1"/>
  <c r="I127" i="42"/>
  <c r="J17" i="5"/>
  <c r="J132" i="42" s="1"/>
  <c r="I132" i="42"/>
  <c r="J15" i="5"/>
  <c r="J130" i="42" s="1"/>
  <c r="I130" i="42"/>
  <c r="J13" i="5"/>
  <c r="J128" i="42" s="1"/>
  <c r="I128" i="42"/>
  <c r="J11" i="5"/>
  <c r="J126" i="42" s="1"/>
  <c r="I126" i="42"/>
  <c r="R13" i="4"/>
  <c r="R116" i="42" s="1"/>
  <c r="Q116" i="42"/>
  <c r="R14" i="4"/>
  <c r="R117" i="42" s="1"/>
  <c r="Q117" i="42"/>
  <c r="J13" i="4"/>
  <c r="J116" i="42" s="1"/>
  <c r="I116" i="42"/>
  <c r="J14" i="4"/>
  <c r="J117" i="42" s="1"/>
  <c r="I117" i="42"/>
  <c r="R9" i="25"/>
  <c r="R65" i="42" s="1"/>
  <c r="Q65" i="42"/>
  <c r="R17" i="25"/>
  <c r="R73" i="42" s="1"/>
  <c r="Q73" i="42"/>
  <c r="R15" i="25"/>
  <c r="R71" i="42" s="1"/>
  <c r="Q71" i="42"/>
  <c r="R13" i="25"/>
  <c r="R69" i="42" s="1"/>
  <c r="Q69" i="42"/>
  <c r="R11" i="25"/>
  <c r="R67" i="42" s="1"/>
  <c r="Q67" i="42"/>
  <c r="R10" i="25"/>
  <c r="R66" i="42" s="1"/>
  <c r="Q66" i="42"/>
  <c r="R8" i="25"/>
  <c r="R64" i="42" s="1"/>
  <c r="Q64" i="42"/>
  <c r="R18" i="25"/>
  <c r="R74" i="42" s="1"/>
  <c r="Q74" i="42"/>
  <c r="R16" i="25"/>
  <c r="R72" i="42" s="1"/>
  <c r="Q72" i="42"/>
  <c r="R14" i="25"/>
  <c r="R70" i="42" s="1"/>
  <c r="Q70" i="42"/>
  <c r="R12" i="25"/>
  <c r="R68" i="42" s="1"/>
  <c r="Q68" i="42"/>
  <c r="J17" i="25"/>
  <c r="J73" i="42" s="1"/>
  <c r="I73" i="42"/>
  <c r="J11" i="25"/>
  <c r="J67" i="42" s="1"/>
  <c r="I67" i="42"/>
  <c r="J15" i="25"/>
  <c r="J71" i="42" s="1"/>
  <c r="I71" i="42"/>
  <c r="J10" i="25"/>
  <c r="J66" i="42" s="1"/>
  <c r="I66" i="42"/>
  <c r="J8" i="25"/>
  <c r="J64" i="42" s="1"/>
  <c r="I64" i="42"/>
  <c r="J18" i="25"/>
  <c r="J74" i="42" s="1"/>
  <c r="I74" i="42"/>
  <c r="J16" i="25"/>
  <c r="J72" i="42" s="1"/>
  <c r="I72" i="42"/>
  <c r="J12" i="25"/>
  <c r="J68" i="42" s="1"/>
  <c r="I68" i="42"/>
  <c r="J14" i="25"/>
  <c r="J70" i="42" s="1"/>
  <c r="I70" i="42"/>
  <c r="R14" i="7"/>
  <c r="R27" i="42" s="1"/>
  <c r="Q27" i="42"/>
  <c r="R15" i="7"/>
  <c r="R28" i="42" s="1"/>
  <c r="Q28" i="42"/>
  <c r="R13" i="7"/>
  <c r="R26" i="42" s="1"/>
  <c r="Q26" i="42"/>
  <c r="J14" i="7"/>
  <c r="J27" i="42" s="1"/>
  <c r="I27" i="42"/>
  <c r="J15" i="7"/>
  <c r="J28" i="42" s="1"/>
  <c r="I28" i="42"/>
  <c r="J13" i="7"/>
  <c r="J26" i="42" s="1"/>
  <c r="I26" i="42"/>
  <c r="J14" i="8"/>
  <c r="J56" i="42" s="1"/>
  <c r="I56" i="42"/>
  <c r="R14" i="8"/>
  <c r="R56" i="42" s="1"/>
  <c r="Q56" i="42"/>
  <c r="J16" i="8"/>
  <c r="J58" i="42" s="1"/>
  <c r="I58" i="42"/>
  <c r="J12" i="8"/>
  <c r="J54" i="42" s="1"/>
  <c r="I54" i="42"/>
  <c r="R16" i="8"/>
  <c r="R58" i="42" s="1"/>
  <c r="Q58" i="42"/>
  <c r="R12" i="8"/>
  <c r="R54" i="42" s="1"/>
  <c r="Q54" i="42"/>
  <c r="J15" i="8"/>
  <c r="J57" i="42" s="1"/>
  <c r="I57" i="42"/>
  <c r="J13" i="8"/>
  <c r="J55" i="42" s="1"/>
  <c r="I55" i="42"/>
  <c r="R15" i="8"/>
  <c r="R57" i="42" s="1"/>
  <c r="Q57" i="42"/>
  <c r="R13" i="8"/>
  <c r="R55" i="42" s="1"/>
  <c r="Q55" i="42"/>
  <c r="B59" i="42"/>
  <c r="F17" i="8"/>
  <c r="F59" i="42" s="1"/>
  <c r="L17" i="8"/>
  <c r="L59" i="42" s="1"/>
  <c r="P17" i="8"/>
  <c r="P59" i="42" s="1"/>
  <c r="D17" i="8"/>
  <c r="D59" i="42" s="1"/>
  <c r="H17" i="8"/>
  <c r="H59" i="42" s="1"/>
  <c r="N17" i="8"/>
  <c r="N59" i="42" s="1"/>
  <c r="J17" i="8"/>
  <c r="J59" i="42" s="1"/>
  <c r="O32" i="42"/>
  <c r="O19" i="42"/>
  <c r="O7" i="42" s="1"/>
  <c r="M32" i="42"/>
  <c r="M19" i="42"/>
  <c r="M7" i="42" s="1"/>
  <c r="K32" i="42"/>
  <c r="K19" i="42"/>
  <c r="K7" i="42" s="1"/>
  <c r="G32" i="42"/>
  <c r="G19" i="42"/>
  <c r="G7" i="42" s="1"/>
  <c r="E32" i="42"/>
  <c r="E19" i="42"/>
  <c r="E7" i="42" s="1"/>
  <c r="C32" i="42"/>
  <c r="R7" i="39"/>
  <c r="R153" i="42" s="1"/>
  <c r="Q153" i="42"/>
  <c r="J8" i="39"/>
  <c r="J154" i="42" s="1"/>
  <c r="I154" i="42"/>
  <c r="R8" i="39"/>
  <c r="R154" i="42" s="1"/>
  <c r="Q154" i="42"/>
  <c r="J9" i="39"/>
  <c r="J155" i="42" s="1"/>
  <c r="I155" i="42"/>
  <c r="R9" i="39"/>
  <c r="R155" i="42" s="1"/>
  <c r="Q155" i="42"/>
  <c r="J10" i="39"/>
  <c r="J156" i="42" s="1"/>
  <c r="I156" i="42"/>
  <c r="R10" i="39"/>
  <c r="R156" i="42" s="1"/>
  <c r="Q156" i="42"/>
  <c r="J11" i="39"/>
  <c r="J157" i="42" s="1"/>
  <c r="I157" i="42"/>
  <c r="R11" i="39"/>
  <c r="R157" i="42" s="1"/>
  <c r="Q157" i="42"/>
  <c r="J12" i="39"/>
  <c r="J158" i="42" s="1"/>
  <c r="I158" i="42"/>
  <c r="R12" i="39"/>
  <c r="R158" i="42" s="1"/>
  <c r="Q158" i="42"/>
  <c r="J13" i="39"/>
  <c r="J159" i="42" s="1"/>
  <c r="I159" i="42"/>
  <c r="R13" i="39"/>
  <c r="R159" i="42" s="1"/>
  <c r="Q159" i="42"/>
  <c r="J14" i="39"/>
  <c r="J160" i="42" s="1"/>
  <c r="I160" i="42"/>
  <c r="R14" i="39"/>
  <c r="R160" i="42" s="1"/>
  <c r="Q160" i="42"/>
  <c r="J7" i="39"/>
  <c r="J153" i="42" s="1"/>
  <c r="I153" i="42"/>
  <c r="Q20" i="39"/>
  <c r="Q166" i="42" s="1"/>
  <c r="Q165" i="42"/>
  <c r="P20" i="39"/>
  <c r="P166" i="42" s="1"/>
  <c r="Q12" i="9"/>
  <c r="I12" i="9"/>
  <c r="I9" i="34"/>
  <c r="D39" i="4"/>
  <c r="H39" i="4"/>
  <c r="N39" i="4"/>
  <c r="F39" i="4"/>
  <c r="Q39" i="4"/>
  <c r="R39" i="4" s="1"/>
  <c r="L39" i="4"/>
  <c r="P39" i="4"/>
  <c r="J33" i="6"/>
  <c r="J104" i="42" s="1"/>
  <c r="R33" i="6"/>
  <c r="R104" i="42" s="1"/>
  <c r="I39" i="4"/>
  <c r="J39" i="4" s="1"/>
  <c r="I44" i="8"/>
  <c r="J44" i="8" s="1"/>
  <c r="I21" i="9"/>
  <c r="Q15" i="39"/>
  <c r="Q35" i="6"/>
  <c r="Q41" i="5"/>
  <c r="O17" i="34"/>
  <c r="I14" i="34"/>
  <c r="K17" i="34"/>
  <c r="E26" i="34"/>
  <c r="C38" i="34"/>
  <c r="E38" i="34" s="1"/>
  <c r="G6" i="34"/>
  <c r="Q6" i="34" s="1"/>
  <c r="G8" i="34"/>
  <c r="Q8" i="34" s="1"/>
  <c r="G5" i="34"/>
  <c r="Q5" i="34" s="1"/>
  <c r="I12" i="34"/>
  <c r="R31" i="4"/>
  <c r="P31" i="4"/>
  <c r="N31" i="4"/>
  <c r="L31" i="4"/>
  <c r="J31" i="4"/>
  <c r="H31" i="4"/>
  <c r="F31" i="4"/>
  <c r="D31" i="4"/>
  <c r="Q31" i="4"/>
  <c r="I31" i="4"/>
  <c r="Q15" i="34"/>
  <c r="I15" i="34"/>
  <c r="R14" i="3"/>
  <c r="P14" i="3"/>
  <c r="L14" i="3"/>
  <c r="I14" i="3"/>
  <c r="F14" i="3"/>
  <c r="Q13" i="34"/>
  <c r="I13" i="34"/>
  <c r="Q34" i="5"/>
  <c r="R34" i="5" s="1"/>
  <c r="Q14" i="3"/>
  <c r="N14" i="3"/>
  <c r="J14" i="3"/>
  <c r="H14" i="3"/>
  <c r="D14" i="3"/>
  <c r="Q11" i="34"/>
  <c r="I11" i="34"/>
  <c r="G10" i="34"/>
  <c r="G7" i="34"/>
  <c r="N22" i="5"/>
  <c r="N38" i="5" s="1"/>
  <c r="D22" i="5"/>
  <c r="D38" i="5" s="1"/>
  <c r="F41" i="5"/>
  <c r="R41" i="5"/>
  <c r="P41" i="5"/>
  <c r="R22" i="5"/>
  <c r="R38" i="5" s="1"/>
  <c r="I22" i="5"/>
  <c r="I38" i="5" s="1"/>
  <c r="F22" i="5"/>
  <c r="F38" i="5" s="1"/>
  <c r="I41" i="5"/>
  <c r="J41" i="5" s="1"/>
  <c r="H41" i="5"/>
  <c r="N41" i="5"/>
  <c r="D41" i="5"/>
  <c r="L41" i="5"/>
  <c r="M31" i="4"/>
  <c r="M14" i="3"/>
  <c r="G31" i="4"/>
  <c r="G14" i="3"/>
  <c r="C31" i="4"/>
  <c r="C14" i="3"/>
  <c r="I35" i="6"/>
  <c r="F35" i="6"/>
  <c r="F106" i="42" s="1"/>
  <c r="P35" i="6"/>
  <c r="P106" i="42" s="1"/>
  <c r="H35" i="6"/>
  <c r="H106" i="42" s="1"/>
  <c r="N35" i="6"/>
  <c r="N106" i="42" s="1"/>
  <c r="D35" i="6"/>
  <c r="D106" i="42" s="1"/>
  <c r="L35" i="6"/>
  <c r="L106" i="42" s="1"/>
  <c r="D19" i="39"/>
  <c r="D165" i="42" s="1"/>
  <c r="H19" i="39"/>
  <c r="H165" i="42" s="1"/>
  <c r="J19" i="39"/>
  <c r="J165" i="42" s="1"/>
  <c r="R19" i="39"/>
  <c r="R165" i="42" s="1"/>
  <c r="I20" i="39"/>
  <c r="I166" i="42" s="1"/>
  <c r="I15" i="39"/>
  <c r="F15" i="39"/>
  <c r="F161" i="42" s="1"/>
  <c r="P15" i="39"/>
  <c r="P161" i="42" s="1"/>
  <c r="H15" i="39"/>
  <c r="H161" i="42" s="1"/>
  <c r="N15" i="39"/>
  <c r="N161" i="42" s="1"/>
  <c r="D15" i="39"/>
  <c r="D161" i="42" s="1"/>
  <c r="L15" i="39"/>
  <c r="L161" i="42" s="1"/>
  <c r="J21" i="9"/>
  <c r="Q21" i="9"/>
  <c r="R21" i="9" s="1"/>
  <c r="D21" i="9"/>
  <c r="F21" i="9"/>
  <c r="H21" i="9"/>
  <c r="L21" i="9"/>
  <c r="N21" i="9"/>
  <c r="R44" i="8"/>
  <c r="D44" i="8"/>
  <c r="L44" i="8"/>
  <c r="Q31" i="19"/>
  <c r="R31" i="19" s="1"/>
  <c r="I34" i="5"/>
  <c r="J34" i="5" s="1"/>
  <c r="F34" i="5"/>
  <c r="P34" i="5"/>
  <c r="H34" i="5"/>
  <c r="N34" i="5"/>
  <c r="D34" i="5"/>
  <c r="L34" i="5"/>
  <c r="B26" i="2"/>
  <c r="C26" i="2"/>
  <c r="E26" i="2"/>
  <c r="G26" i="2"/>
  <c r="I26" i="2"/>
  <c r="K26" i="2"/>
  <c r="M26" i="2"/>
  <c r="O26" i="2"/>
  <c r="Q26" i="2"/>
  <c r="R26" i="2"/>
  <c r="B36" i="2"/>
  <c r="P36" i="2"/>
  <c r="N36" i="2"/>
  <c r="H36" i="2"/>
  <c r="F36" i="2"/>
  <c r="Q33" i="2"/>
  <c r="R33" i="2" s="1"/>
  <c r="P33" i="2"/>
  <c r="N33" i="2"/>
  <c r="L33" i="2"/>
  <c r="I33" i="2"/>
  <c r="J33" i="2" s="1"/>
  <c r="H33" i="2"/>
  <c r="F33" i="2"/>
  <c r="R35" i="2" s="1"/>
  <c r="D33" i="2"/>
  <c r="D34" i="2" s="1"/>
  <c r="D35" i="2" s="1"/>
  <c r="Q32" i="2"/>
  <c r="R32" i="2" s="1"/>
  <c r="P32" i="2"/>
  <c r="N32" i="2"/>
  <c r="L32" i="2"/>
  <c r="I32" i="2"/>
  <c r="J32" i="2" s="1"/>
  <c r="H32" i="2"/>
  <c r="F32" i="2"/>
  <c r="D32" i="2"/>
  <c r="P28" i="2" s="1"/>
  <c r="Q31" i="2"/>
  <c r="R31" i="2" s="1"/>
  <c r="P31" i="2"/>
  <c r="N31" i="2"/>
  <c r="L31" i="2"/>
  <c r="I31" i="2"/>
  <c r="J31" i="2" s="1"/>
  <c r="H31" i="2"/>
  <c r="F31" i="2"/>
  <c r="Q30" i="2"/>
  <c r="R30" i="2" s="1"/>
  <c r="L30" i="2"/>
  <c r="I30" i="2"/>
  <c r="J30" i="2" s="1"/>
  <c r="Q29" i="2"/>
  <c r="R29" i="2" s="1"/>
  <c r="L29" i="2"/>
  <c r="I29" i="2"/>
  <c r="J29" i="2" s="1"/>
  <c r="Q28" i="2"/>
  <c r="R28" i="2" s="1"/>
  <c r="L28" i="2"/>
  <c r="I28" i="2"/>
  <c r="J28" i="2" s="1"/>
  <c r="Q27" i="2"/>
  <c r="R27" i="2" s="1"/>
  <c r="L27" i="2"/>
  <c r="I27" i="2"/>
  <c r="J27" i="2" s="1"/>
  <c r="A3" i="25"/>
  <c r="F15" i="4"/>
  <c r="F118" i="42" s="1"/>
  <c r="H15" i="4"/>
  <c r="H118" i="42" s="1"/>
  <c r="N15" i="4"/>
  <c r="N118" i="42" s="1"/>
  <c r="P15" i="4"/>
  <c r="P118" i="42" s="1"/>
  <c r="D26" i="2"/>
  <c r="F26" i="2"/>
  <c r="H26" i="2"/>
  <c r="J26" i="2"/>
  <c r="L26" i="2"/>
  <c r="N26" i="2"/>
  <c r="P26" i="2"/>
  <c r="I8" i="34" l="1"/>
  <c r="I6" i="34"/>
  <c r="J35" i="6"/>
  <c r="J106" i="42" s="1"/>
  <c r="I106" i="42"/>
  <c r="R35" i="6"/>
  <c r="R106" i="42" s="1"/>
  <c r="Q106" i="42"/>
  <c r="P186" i="42"/>
  <c r="O191" i="42"/>
  <c r="P191" i="42" s="1"/>
  <c r="I62" i="42"/>
  <c r="I41" i="42"/>
  <c r="I48" i="42"/>
  <c r="I103" i="42"/>
  <c r="I78" i="42"/>
  <c r="I93" i="42"/>
  <c r="I109" i="42"/>
  <c r="I121" i="42"/>
  <c r="I136" i="42"/>
  <c r="I143" i="42"/>
  <c r="I152" i="42"/>
  <c r="I164" i="42" s="1"/>
  <c r="I169" i="42" s="1"/>
  <c r="Q41" i="42"/>
  <c r="Q48" i="42"/>
  <c r="Q78" i="42"/>
  <c r="Q93" i="42"/>
  <c r="Q109" i="42"/>
  <c r="Q121" i="42"/>
  <c r="Q136" i="42"/>
  <c r="Q143" i="42"/>
  <c r="Q152" i="42"/>
  <c r="Q164" i="42" s="1"/>
  <c r="Q169" i="42" s="1"/>
  <c r="Q103" i="42"/>
  <c r="Q62" i="42"/>
  <c r="D103" i="42"/>
  <c r="D152" i="42"/>
  <c r="D164" i="42" s="1"/>
  <c r="D169" i="42" s="1"/>
  <c r="D41" i="42"/>
  <c r="D48" i="42"/>
  <c r="D62" i="42"/>
  <c r="D78" i="42"/>
  <c r="D93" i="42"/>
  <c r="D109" i="42"/>
  <c r="D121" i="42"/>
  <c r="D136" i="42"/>
  <c r="D143" i="42"/>
  <c r="F103" i="42"/>
  <c r="F48" i="42"/>
  <c r="F62" i="42"/>
  <c r="F78" i="42"/>
  <c r="F93" i="42"/>
  <c r="F109" i="42"/>
  <c r="F121" i="42"/>
  <c r="F136" i="42"/>
  <c r="F143" i="42"/>
  <c r="F152" i="42"/>
  <c r="F164" i="42" s="1"/>
  <c r="F169" i="42" s="1"/>
  <c r="F41" i="42"/>
  <c r="H103" i="42"/>
  <c r="H41" i="42"/>
  <c r="H152" i="42"/>
  <c r="H164" i="42" s="1"/>
  <c r="H169" i="42" s="1"/>
  <c r="H48" i="42"/>
  <c r="H62" i="42"/>
  <c r="H78" i="42"/>
  <c r="H93" i="42"/>
  <c r="H109" i="42"/>
  <c r="H121" i="42"/>
  <c r="H136" i="42"/>
  <c r="H143" i="42"/>
  <c r="J103" i="42"/>
  <c r="J41" i="42"/>
  <c r="J48" i="42"/>
  <c r="J62" i="42"/>
  <c r="J78" i="42"/>
  <c r="J93" i="42"/>
  <c r="J109" i="42"/>
  <c r="J121" i="42"/>
  <c r="J136" i="42"/>
  <c r="J143" i="42"/>
  <c r="J152" i="42"/>
  <c r="J164" i="42" s="1"/>
  <c r="J169" i="42" s="1"/>
  <c r="L103" i="42"/>
  <c r="L152" i="42"/>
  <c r="L164" i="42" s="1"/>
  <c r="L169" i="42" s="1"/>
  <c r="L41" i="42"/>
  <c r="L48" i="42"/>
  <c r="L62" i="42"/>
  <c r="L78" i="42"/>
  <c r="L93" i="42"/>
  <c r="L109" i="42"/>
  <c r="L121" i="42"/>
  <c r="L136" i="42"/>
  <c r="L143" i="42"/>
  <c r="N103" i="42"/>
  <c r="N48" i="42"/>
  <c r="N62" i="42"/>
  <c r="N78" i="42"/>
  <c r="N93" i="42"/>
  <c r="N109" i="42"/>
  <c r="N121" i="42"/>
  <c r="N136" i="42"/>
  <c r="N143" i="42"/>
  <c r="N152" i="42"/>
  <c r="N164" i="42" s="1"/>
  <c r="N169" i="42" s="1"/>
  <c r="N41" i="42"/>
  <c r="P103" i="42"/>
  <c r="P41" i="42"/>
  <c r="P152" i="42"/>
  <c r="P164" i="42" s="1"/>
  <c r="P169" i="42" s="1"/>
  <c r="P48" i="42"/>
  <c r="P62" i="42"/>
  <c r="P78" i="42"/>
  <c r="P93" i="42"/>
  <c r="P109" i="42"/>
  <c r="P121" i="42"/>
  <c r="P136" i="42"/>
  <c r="P143" i="42"/>
  <c r="R103" i="42"/>
  <c r="R41" i="42"/>
  <c r="R48" i="42"/>
  <c r="R62" i="42"/>
  <c r="R78" i="42"/>
  <c r="R93" i="42"/>
  <c r="R109" i="42"/>
  <c r="R121" i="42"/>
  <c r="R136" i="42"/>
  <c r="R143" i="42"/>
  <c r="R152" i="42"/>
  <c r="R164" i="42" s="1"/>
  <c r="R169" i="42" s="1"/>
  <c r="R12" i="9"/>
  <c r="R149" i="42" s="1"/>
  <c r="Q149" i="42"/>
  <c r="J12" i="9"/>
  <c r="J149" i="42" s="1"/>
  <c r="I149" i="42"/>
  <c r="O41" i="42"/>
  <c r="O93" i="42"/>
  <c r="O121" i="42"/>
  <c r="O143" i="42"/>
  <c r="O103" i="42"/>
  <c r="O48" i="42"/>
  <c r="O62" i="42"/>
  <c r="O78" i="42"/>
  <c r="O109" i="42"/>
  <c r="O136" i="42"/>
  <c r="O152" i="42"/>
  <c r="O164" i="42" s="1"/>
  <c r="M41" i="42"/>
  <c r="M48" i="42"/>
  <c r="M78" i="42"/>
  <c r="M93" i="42"/>
  <c r="M109" i="42"/>
  <c r="M121" i="42"/>
  <c r="M136" i="42"/>
  <c r="M143" i="42"/>
  <c r="M152" i="42"/>
  <c r="M164" i="42" s="1"/>
  <c r="M103" i="42"/>
  <c r="M62" i="42"/>
  <c r="K41" i="42"/>
  <c r="K93" i="42"/>
  <c r="K121" i="42"/>
  <c r="K143" i="42"/>
  <c r="K103" i="42"/>
  <c r="K48" i="42"/>
  <c r="K62" i="42"/>
  <c r="K78" i="42"/>
  <c r="K109" i="42"/>
  <c r="K136" i="42"/>
  <c r="K152" i="42"/>
  <c r="K164" i="42" s="1"/>
  <c r="G103" i="42"/>
  <c r="G48" i="42"/>
  <c r="G41" i="42"/>
  <c r="G62" i="42"/>
  <c r="G78" i="42"/>
  <c r="G93" i="42"/>
  <c r="G109" i="42"/>
  <c r="G121" i="42"/>
  <c r="G136" i="42"/>
  <c r="G143" i="42"/>
  <c r="G152" i="42"/>
  <c r="G164" i="42" s="1"/>
  <c r="E103" i="42"/>
  <c r="E78" i="42"/>
  <c r="E109" i="42"/>
  <c r="E136" i="42"/>
  <c r="E152" i="42"/>
  <c r="E164" i="42" s="1"/>
  <c r="E41" i="42"/>
  <c r="E48" i="42"/>
  <c r="E62" i="42"/>
  <c r="E93" i="42"/>
  <c r="E121" i="42"/>
  <c r="E143" i="42"/>
  <c r="C103" i="42"/>
  <c r="C48" i="42"/>
  <c r="C41" i="42"/>
  <c r="C62" i="42"/>
  <c r="C78" i="42"/>
  <c r="C93" i="42"/>
  <c r="C109" i="42"/>
  <c r="C121" i="42"/>
  <c r="C136" i="42"/>
  <c r="C143" i="42"/>
  <c r="C152" i="42"/>
  <c r="C164" i="42" s="1"/>
  <c r="R15" i="39"/>
  <c r="R161" i="42" s="1"/>
  <c r="Q161" i="42"/>
  <c r="J15" i="39"/>
  <c r="J161" i="42" s="1"/>
  <c r="I161" i="42"/>
  <c r="Q36" i="2"/>
  <c r="I36" i="2"/>
  <c r="J36" i="2" s="1"/>
  <c r="J22" i="5"/>
  <c r="J38" i="5" s="1"/>
  <c r="Q22" i="5"/>
  <c r="Q38" i="5" s="1"/>
  <c r="Q7" i="34"/>
  <c r="G17" i="34"/>
  <c r="I5" i="34"/>
  <c r="P22" i="5"/>
  <c r="P38" i="5" s="1"/>
  <c r="L22" i="5"/>
  <c r="L38" i="5" s="1"/>
  <c r="H22" i="5"/>
  <c r="H38" i="5" s="1"/>
  <c r="D36" i="2"/>
  <c r="F34" i="2"/>
  <c r="H34" i="2"/>
  <c r="L34" i="2"/>
  <c r="N34" i="2"/>
  <c r="P34" i="2"/>
  <c r="R34" i="2"/>
  <c r="D31" i="2"/>
  <c r="D29" i="2"/>
  <c r="D27" i="2"/>
  <c r="F29" i="2"/>
  <c r="F27" i="2"/>
  <c r="H29" i="2"/>
  <c r="H27" i="2"/>
  <c r="N29" i="2"/>
  <c r="N27" i="2"/>
  <c r="P29" i="2"/>
  <c r="P27" i="2"/>
  <c r="F35" i="2"/>
  <c r="H35" i="2"/>
  <c r="L35" i="2"/>
  <c r="N35" i="2"/>
  <c r="P35" i="2"/>
  <c r="L36" i="2"/>
  <c r="D30" i="2"/>
  <c r="D28" i="2"/>
  <c r="F30" i="2"/>
  <c r="F28" i="2"/>
  <c r="H30" i="2"/>
  <c r="H28" i="2"/>
  <c r="N30" i="2"/>
  <c r="N28" i="2"/>
  <c r="P30" i="2"/>
  <c r="I7" i="34"/>
  <c r="I10" i="34"/>
  <c r="Q10" i="34"/>
  <c r="O31" i="4"/>
  <c r="M22" i="5"/>
  <c r="M38" i="5" s="1"/>
  <c r="K31" i="4"/>
  <c r="G22" i="5"/>
  <c r="G38" i="5" s="1"/>
  <c r="E31" i="4"/>
  <c r="C22" i="5"/>
  <c r="C38" i="5" s="1"/>
  <c r="Q6" i="9"/>
  <c r="Q15" i="9" s="1"/>
  <c r="O6" i="9"/>
  <c r="O15" i="9" s="1"/>
  <c r="M6" i="9"/>
  <c r="M15" i="9" s="1"/>
  <c r="K6" i="9"/>
  <c r="K15" i="9" s="1"/>
  <c r="I6" i="9"/>
  <c r="I15" i="9" s="1"/>
  <c r="G6" i="9"/>
  <c r="G15" i="9" s="1"/>
  <c r="E6" i="9"/>
  <c r="E15" i="9" s="1"/>
  <c r="C6" i="9"/>
  <c r="C15" i="9" s="1"/>
  <c r="R6" i="9"/>
  <c r="R15" i="9" s="1"/>
  <c r="P6" i="9"/>
  <c r="P15" i="9" s="1"/>
  <c r="N6" i="9"/>
  <c r="N15" i="9" s="1"/>
  <c r="L6" i="9"/>
  <c r="L15" i="9" s="1"/>
  <c r="J6" i="9"/>
  <c r="J15" i="9" s="1"/>
  <c r="H6" i="9"/>
  <c r="H15" i="9" s="1"/>
  <c r="F6" i="9"/>
  <c r="F15" i="9" s="1"/>
  <c r="D6" i="9"/>
  <c r="D15" i="9" s="1"/>
  <c r="R15" i="4"/>
  <c r="R118" i="42" s="1"/>
  <c r="L15" i="4"/>
  <c r="L118" i="42" s="1"/>
  <c r="R36" i="2"/>
  <c r="Q6" i="25"/>
  <c r="Q6" i="8"/>
  <c r="Q21" i="8"/>
  <c r="Q35" i="8" s="1"/>
  <c r="O6" i="25"/>
  <c r="O6" i="8"/>
  <c r="O21" i="8"/>
  <c r="O35" i="8" s="1"/>
  <c r="M6" i="25"/>
  <c r="M6" i="8"/>
  <c r="M21" i="8"/>
  <c r="M35" i="8" s="1"/>
  <c r="K6" i="25"/>
  <c r="K6" i="8"/>
  <c r="K21" i="8"/>
  <c r="K35" i="8" s="1"/>
  <c r="I6" i="25"/>
  <c r="I6" i="8"/>
  <c r="I21" i="8"/>
  <c r="I35" i="8" s="1"/>
  <c r="G6" i="25"/>
  <c r="G6" i="8"/>
  <c r="G21" i="8"/>
  <c r="G35" i="8" s="1"/>
  <c r="E6" i="25"/>
  <c r="E6" i="8"/>
  <c r="E21" i="8"/>
  <c r="E35" i="8" s="1"/>
  <c r="C6" i="25"/>
  <c r="C6" i="8"/>
  <c r="C21" i="8"/>
  <c r="C35" i="8" s="1"/>
  <c r="R6" i="6"/>
  <c r="P6" i="6"/>
  <c r="N6" i="6"/>
  <c r="L6" i="6"/>
  <c r="J6" i="6"/>
  <c r="H6" i="6"/>
  <c r="F6" i="6"/>
  <c r="D6" i="6"/>
  <c r="R17" i="6"/>
  <c r="R32" i="6" s="1"/>
  <c r="R38" i="6" s="1"/>
  <c r="P17" i="6"/>
  <c r="P32" i="6" s="1"/>
  <c r="P38" i="6" s="1"/>
  <c r="N17" i="6"/>
  <c r="N32" i="6" s="1"/>
  <c r="N38" i="6" s="1"/>
  <c r="L17" i="6"/>
  <c r="L32" i="6" s="1"/>
  <c r="L38" i="6" s="1"/>
  <c r="J17" i="6"/>
  <c r="J32" i="6" s="1"/>
  <c r="J38" i="6" s="1"/>
  <c r="H17" i="6"/>
  <c r="H32" i="6" s="1"/>
  <c r="H38" i="6" s="1"/>
  <c r="F17" i="6"/>
  <c r="F32" i="6" s="1"/>
  <c r="F38" i="6" s="1"/>
  <c r="D17" i="6"/>
  <c r="D32" i="6" s="1"/>
  <c r="D38" i="6" s="1"/>
  <c r="R6" i="7"/>
  <c r="P6" i="7"/>
  <c r="N6" i="7"/>
  <c r="L6" i="7"/>
  <c r="J6" i="7"/>
  <c r="H6" i="7"/>
  <c r="F6" i="7"/>
  <c r="D6" i="7"/>
  <c r="R21" i="8"/>
  <c r="R35" i="8" s="1"/>
  <c r="N21" i="8"/>
  <c r="N35" i="8" s="1"/>
  <c r="J21" i="8"/>
  <c r="J35" i="8" s="1"/>
  <c r="F21" i="8"/>
  <c r="F35" i="8" s="1"/>
  <c r="R6" i="8"/>
  <c r="N6" i="8"/>
  <c r="J6" i="8"/>
  <c r="F6" i="8"/>
  <c r="R6" i="25"/>
  <c r="N6" i="25"/>
  <c r="J6" i="25"/>
  <c r="F6" i="25"/>
  <c r="Q6" i="6"/>
  <c r="O6" i="6"/>
  <c r="M6" i="6"/>
  <c r="K6" i="6"/>
  <c r="I6" i="6"/>
  <c r="G6" i="6"/>
  <c r="E6" i="6"/>
  <c r="C6" i="6"/>
  <c r="Q17" i="6"/>
  <c r="Q32" i="6" s="1"/>
  <c r="Q38" i="6" s="1"/>
  <c r="O17" i="6"/>
  <c r="O32" i="6" s="1"/>
  <c r="O38" i="6" s="1"/>
  <c r="M17" i="6"/>
  <c r="M32" i="6" s="1"/>
  <c r="M38" i="6" s="1"/>
  <c r="K17" i="6"/>
  <c r="K32" i="6" s="1"/>
  <c r="K38" i="6" s="1"/>
  <c r="I17" i="6"/>
  <c r="I32" i="6" s="1"/>
  <c r="I38" i="6" s="1"/>
  <c r="G17" i="6"/>
  <c r="G32" i="6" s="1"/>
  <c r="G38" i="6" s="1"/>
  <c r="E17" i="6"/>
  <c r="E32" i="6" s="1"/>
  <c r="E38" i="6" s="1"/>
  <c r="C17" i="6"/>
  <c r="C32" i="6" s="1"/>
  <c r="C38" i="6" s="1"/>
  <c r="Q6" i="7"/>
  <c r="O6" i="7"/>
  <c r="M6" i="7"/>
  <c r="K6" i="7"/>
  <c r="I6" i="7"/>
  <c r="G6" i="7"/>
  <c r="E6" i="7"/>
  <c r="C6" i="7"/>
  <c r="P21" i="8"/>
  <c r="P35" i="8" s="1"/>
  <c r="L21" i="8"/>
  <c r="L35" i="8" s="1"/>
  <c r="H21" i="8"/>
  <c r="H35" i="8" s="1"/>
  <c r="D21" i="8"/>
  <c r="D35" i="8" s="1"/>
  <c r="P6" i="8"/>
  <c r="L6" i="8"/>
  <c r="H6" i="8"/>
  <c r="D6" i="8"/>
  <c r="P6" i="25"/>
  <c r="L6" i="25"/>
  <c r="H6" i="25"/>
  <c r="D6" i="25"/>
  <c r="O169" i="42" l="1"/>
  <c r="M184" i="42"/>
  <c r="M169" i="42"/>
  <c r="K184" i="42"/>
  <c r="K169" i="42"/>
  <c r="I184" i="42"/>
  <c r="G169" i="42"/>
  <c r="G184" i="42"/>
  <c r="E169" i="42"/>
  <c r="E184" i="42"/>
  <c r="C169" i="42"/>
  <c r="C184" i="42"/>
  <c r="O22" i="5"/>
  <c r="O38" i="5" s="1"/>
  <c r="K22" i="5"/>
  <c r="K38" i="5" s="1"/>
  <c r="E22" i="5"/>
  <c r="E38" i="5" s="1"/>
  <c r="Q7" i="2"/>
  <c r="Q33" i="42" s="1"/>
  <c r="I7" i="2"/>
  <c r="Q24" i="6"/>
  <c r="R24" i="6" s="1"/>
  <c r="P24" i="6"/>
  <c r="N24" i="6"/>
  <c r="L24" i="6"/>
  <c r="I24" i="6"/>
  <c r="J24" i="6" s="1"/>
  <c r="H24" i="6"/>
  <c r="F24" i="6"/>
  <c r="D24" i="6"/>
  <c r="Q23" i="6"/>
  <c r="R23" i="6" s="1"/>
  <c r="P23" i="6"/>
  <c r="N23" i="6"/>
  <c r="L23" i="6"/>
  <c r="I23" i="6"/>
  <c r="J23" i="6" s="1"/>
  <c r="H23" i="6"/>
  <c r="F23" i="6"/>
  <c r="D23" i="6"/>
  <c r="P25" i="4"/>
  <c r="P26" i="4"/>
  <c r="N25" i="4"/>
  <c r="N26" i="4"/>
  <c r="L25" i="4"/>
  <c r="L26" i="4"/>
  <c r="D25" i="4"/>
  <c r="D26" i="4"/>
  <c r="H25" i="4"/>
  <c r="H26" i="4"/>
  <c r="F26" i="4"/>
  <c r="I26" i="4"/>
  <c r="Q26" i="4"/>
  <c r="J7" i="2" l="1"/>
  <c r="J33" i="42" s="1"/>
  <c r="I33" i="42"/>
  <c r="R26" i="4"/>
  <c r="J26" i="4"/>
  <c r="Q7" i="19" l="1"/>
  <c r="Q8" i="19"/>
  <c r="Q9" i="19"/>
  <c r="Q10" i="19"/>
  <c r="Q11" i="19"/>
  <c r="Q12" i="19"/>
  <c r="Q13" i="19"/>
  <c r="Q14" i="19"/>
  <c r="Q7" i="25"/>
  <c r="P7" i="25"/>
  <c r="P63" i="42" s="1"/>
  <c r="N7" i="25"/>
  <c r="N63" i="42" s="1"/>
  <c r="R7" i="25" l="1"/>
  <c r="R63" i="42" s="1"/>
  <c r="Q63" i="42"/>
  <c r="R13" i="19"/>
  <c r="R14" i="42" s="1"/>
  <c r="Q14" i="42"/>
  <c r="R11" i="19"/>
  <c r="R12" i="42" s="1"/>
  <c r="Q12" i="42"/>
  <c r="R9" i="19"/>
  <c r="R10" i="42" s="1"/>
  <c r="Q10" i="42"/>
  <c r="R7" i="19"/>
  <c r="R8" i="42" s="1"/>
  <c r="Q8" i="42"/>
  <c r="R14" i="19"/>
  <c r="R15" i="42" s="1"/>
  <c r="Q15" i="42"/>
  <c r="R12" i="19"/>
  <c r="R13" i="42" s="1"/>
  <c r="Q13" i="42"/>
  <c r="R10" i="19"/>
  <c r="R11" i="42" s="1"/>
  <c r="Q11" i="42"/>
  <c r="R8" i="19"/>
  <c r="R9" i="42" s="1"/>
  <c r="Q9" i="42"/>
  <c r="Q29" i="8"/>
  <c r="R29" i="8" s="1"/>
  <c r="P29" i="8"/>
  <c r="N29" i="8"/>
  <c r="Q28" i="8"/>
  <c r="R28" i="8" s="1"/>
  <c r="P28" i="8"/>
  <c r="N28" i="8"/>
  <c r="Q27" i="8"/>
  <c r="R27" i="8" s="1"/>
  <c r="P27" i="8"/>
  <c r="N27" i="8"/>
  <c r="Q26" i="8"/>
  <c r="R26" i="8" s="1"/>
  <c r="P26" i="8"/>
  <c r="N26" i="8"/>
  <c r="Q25" i="8"/>
  <c r="R25" i="8" s="1"/>
  <c r="P25" i="8"/>
  <c r="N25" i="8"/>
  <c r="Q24" i="8"/>
  <c r="R24" i="8" s="1"/>
  <c r="P24" i="8"/>
  <c r="N24" i="8"/>
  <c r="Q23" i="8"/>
  <c r="R23" i="8" s="1"/>
  <c r="P23" i="8"/>
  <c r="N23" i="8"/>
  <c r="Q22" i="8"/>
  <c r="R22" i="8" s="1"/>
  <c r="P22" i="8"/>
  <c r="N22" i="8"/>
  <c r="Q11" i="8"/>
  <c r="P11" i="8"/>
  <c r="P53" i="42" s="1"/>
  <c r="N11" i="8"/>
  <c r="N53" i="42" s="1"/>
  <c r="Q10" i="8"/>
  <c r="P10" i="8"/>
  <c r="P52" i="42" s="1"/>
  <c r="N10" i="8"/>
  <c r="N52" i="42" s="1"/>
  <c r="Q9" i="8"/>
  <c r="P9" i="8"/>
  <c r="P51" i="42" s="1"/>
  <c r="N9" i="8"/>
  <c r="N51" i="42" s="1"/>
  <c r="Q8" i="8"/>
  <c r="P8" i="8"/>
  <c r="P50" i="42" s="1"/>
  <c r="N8" i="8"/>
  <c r="N50" i="42" s="1"/>
  <c r="Q7" i="8"/>
  <c r="P7" i="8"/>
  <c r="P49" i="42" s="1"/>
  <c r="N7" i="8"/>
  <c r="N49" i="42" s="1"/>
  <c r="Q12" i="7"/>
  <c r="P12" i="7"/>
  <c r="P25" i="42" s="1"/>
  <c r="N12" i="7"/>
  <c r="N25" i="42" s="1"/>
  <c r="Q11" i="7"/>
  <c r="Q24" i="42" s="1"/>
  <c r="P11" i="7"/>
  <c r="P24" i="42" s="1"/>
  <c r="N11" i="7"/>
  <c r="N24" i="42" s="1"/>
  <c r="Q10" i="7"/>
  <c r="P10" i="7"/>
  <c r="P23" i="42" s="1"/>
  <c r="N10" i="7"/>
  <c r="N23" i="42" s="1"/>
  <c r="Q9" i="7"/>
  <c r="P9" i="7"/>
  <c r="P22" i="42" s="1"/>
  <c r="N9" i="7"/>
  <c r="N22" i="42" s="1"/>
  <c r="Q8" i="7"/>
  <c r="P8" i="7"/>
  <c r="P21" i="42" s="1"/>
  <c r="N8" i="7"/>
  <c r="N21" i="42" s="1"/>
  <c r="Q7" i="7"/>
  <c r="P7" i="7"/>
  <c r="P20" i="42" s="1"/>
  <c r="N7" i="7"/>
  <c r="N20" i="42" s="1"/>
  <c r="Q27" i="6"/>
  <c r="R27" i="6" s="1"/>
  <c r="P27" i="6"/>
  <c r="N27" i="6"/>
  <c r="Q26" i="6"/>
  <c r="R26" i="6" s="1"/>
  <c r="P26" i="6"/>
  <c r="N26" i="6"/>
  <c r="Q25" i="6"/>
  <c r="R25" i="6" s="1"/>
  <c r="P25" i="6"/>
  <c r="N25" i="6"/>
  <c r="Q22" i="6"/>
  <c r="R22" i="6" s="1"/>
  <c r="P22" i="6"/>
  <c r="N22" i="6"/>
  <c r="Q21" i="6"/>
  <c r="R21" i="6" s="1"/>
  <c r="P21" i="6"/>
  <c r="N21" i="6"/>
  <c r="Q20" i="6"/>
  <c r="R20" i="6" s="1"/>
  <c r="P20" i="6"/>
  <c r="N20" i="6"/>
  <c r="Q19" i="6"/>
  <c r="R19" i="6" s="1"/>
  <c r="P19" i="6"/>
  <c r="N19" i="6"/>
  <c r="Q18" i="6"/>
  <c r="R18" i="6" s="1"/>
  <c r="P18" i="6"/>
  <c r="N18" i="6"/>
  <c r="Q12" i="6"/>
  <c r="P12" i="6"/>
  <c r="P99" i="42" s="1"/>
  <c r="N12" i="6"/>
  <c r="N99" i="42" s="1"/>
  <c r="Q11" i="6"/>
  <c r="P11" i="6"/>
  <c r="P98" i="42" s="1"/>
  <c r="N11" i="6"/>
  <c r="N98" i="42" s="1"/>
  <c r="Q10" i="6"/>
  <c r="P10" i="6"/>
  <c r="P97" i="42" s="1"/>
  <c r="N10" i="6"/>
  <c r="N97" i="42" s="1"/>
  <c r="Q9" i="6"/>
  <c r="P9" i="6"/>
  <c r="P96" i="42" s="1"/>
  <c r="N9" i="6"/>
  <c r="N96" i="42" s="1"/>
  <c r="Q8" i="6"/>
  <c r="P8" i="6"/>
  <c r="P95" i="42" s="1"/>
  <c r="N8" i="6"/>
  <c r="N95" i="42" s="1"/>
  <c r="Q7" i="6"/>
  <c r="P7" i="6"/>
  <c r="P94" i="42" s="1"/>
  <c r="N7" i="6"/>
  <c r="N94" i="42" s="1"/>
  <c r="N7" i="5"/>
  <c r="N122" i="42" s="1"/>
  <c r="Q10" i="5"/>
  <c r="P10" i="5"/>
  <c r="P125" i="42" s="1"/>
  <c r="N10" i="5"/>
  <c r="N125" i="42" s="1"/>
  <c r="Q9" i="5"/>
  <c r="P9" i="5"/>
  <c r="P124" i="42" s="1"/>
  <c r="N9" i="5"/>
  <c r="N124" i="42" s="1"/>
  <c r="Q8" i="5"/>
  <c r="P8" i="5"/>
  <c r="P123" i="42" s="1"/>
  <c r="N8" i="5"/>
  <c r="N123" i="42" s="1"/>
  <c r="Q7" i="5"/>
  <c r="P7" i="5"/>
  <c r="P122" i="42" s="1"/>
  <c r="P7" i="4"/>
  <c r="P110" i="42" s="1"/>
  <c r="Q27" i="4"/>
  <c r="R27" i="4" s="1"/>
  <c r="P27" i="4"/>
  <c r="N27" i="4"/>
  <c r="Q25" i="4"/>
  <c r="R25" i="4" s="1"/>
  <c r="Q24" i="4"/>
  <c r="R24" i="4" s="1"/>
  <c r="P24" i="4"/>
  <c r="N24" i="4"/>
  <c r="Q23" i="4"/>
  <c r="R23" i="4" s="1"/>
  <c r="P23" i="4"/>
  <c r="N23" i="4"/>
  <c r="Q22" i="4"/>
  <c r="R22" i="4" s="1"/>
  <c r="P22" i="4"/>
  <c r="N22" i="4"/>
  <c r="Q21" i="4"/>
  <c r="P21" i="4"/>
  <c r="N21" i="4"/>
  <c r="Q20" i="4"/>
  <c r="R20" i="4" s="1"/>
  <c r="P20" i="4"/>
  <c r="N20" i="4"/>
  <c r="Q19" i="4"/>
  <c r="R19" i="4" s="1"/>
  <c r="P19" i="4"/>
  <c r="N19" i="4"/>
  <c r="L19" i="4"/>
  <c r="N8" i="4"/>
  <c r="N111" i="42" s="1"/>
  <c r="N7" i="4"/>
  <c r="N110" i="42" s="1"/>
  <c r="Q12" i="4"/>
  <c r="Q115" i="42" s="1"/>
  <c r="P12" i="4"/>
  <c r="P115" i="42" s="1"/>
  <c r="N12" i="4"/>
  <c r="N115" i="42" s="1"/>
  <c r="Q11" i="4"/>
  <c r="Q114" i="42" s="1"/>
  <c r="P11" i="4"/>
  <c r="P114" i="42" s="1"/>
  <c r="N11" i="4"/>
  <c r="N114" i="42" s="1"/>
  <c r="Q10" i="4"/>
  <c r="Q113" i="42" s="1"/>
  <c r="P10" i="4"/>
  <c r="P113" i="42" s="1"/>
  <c r="N10" i="4"/>
  <c r="N113" i="42" s="1"/>
  <c r="Q9" i="4"/>
  <c r="Q112" i="42" s="1"/>
  <c r="P9" i="4"/>
  <c r="P112" i="42" s="1"/>
  <c r="N9" i="4"/>
  <c r="N112" i="42" s="1"/>
  <c r="Q8" i="4"/>
  <c r="Q111" i="42" s="1"/>
  <c r="P8" i="4"/>
  <c r="P111" i="42" s="1"/>
  <c r="Q7" i="4"/>
  <c r="Q110" i="42" s="1"/>
  <c r="Y8" i="27"/>
  <c r="U10" i="27"/>
  <c r="S11" i="27"/>
  <c r="S7" i="27"/>
  <c r="Q12" i="27"/>
  <c r="Q9" i="27"/>
  <c r="Q5" i="27"/>
  <c r="O10" i="27"/>
  <c r="O6" i="27"/>
  <c r="M8" i="27"/>
  <c r="Q15" i="3"/>
  <c r="R15" i="3" s="1"/>
  <c r="P16" i="3"/>
  <c r="P15" i="3"/>
  <c r="O18" i="3"/>
  <c r="M18" i="3"/>
  <c r="Q17" i="3"/>
  <c r="R17" i="3" s="1"/>
  <c r="P17" i="3"/>
  <c r="N17" i="3"/>
  <c r="Q16" i="3"/>
  <c r="R16" i="3" s="1"/>
  <c r="N16" i="3"/>
  <c r="N15" i="3"/>
  <c r="Q7" i="3"/>
  <c r="Q9" i="3"/>
  <c r="P9" i="3"/>
  <c r="P44" i="42" s="1"/>
  <c r="N9" i="3"/>
  <c r="N44" i="42" s="1"/>
  <c r="Q8" i="3"/>
  <c r="P8" i="3"/>
  <c r="P43" i="42" s="1"/>
  <c r="N8" i="3"/>
  <c r="N43" i="42" s="1"/>
  <c r="P7" i="3"/>
  <c r="P42" i="42" s="1"/>
  <c r="N7" i="3"/>
  <c r="N42" i="42" s="1"/>
  <c r="I17" i="2"/>
  <c r="J17" i="2" s="1"/>
  <c r="Q17" i="2"/>
  <c r="R17" i="2" s="1"/>
  <c r="Q21" i="2"/>
  <c r="R21" i="2" s="1"/>
  <c r="Q20" i="2"/>
  <c r="R20" i="2" s="1"/>
  <c r="Q19" i="2"/>
  <c r="R19" i="2" s="1"/>
  <c r="Q18" i="2"/>
  <c r="R18" i="2" s="1"/>
  <c r="O22" i="2"/>
  <c r="M22" i="2"/>
  <c r="P21" i="2"/>
  <c r="N21" i="2"/>
  <c r="P20" i="2"/>
  <c r="N20" i="2"/>
  <c r="P19" i="2"/>
  <c r="N19" i="2"/>
  <c r="P18" i="2"/>
  <c r="N18" i="2"/>
  <c r="P17" i="2"/>
  <c r="N17" i="2"/>
  <c r="Q11" i="2"/>
  <c r="Q37" i="42" s="1"/>
  <c r="P11" i="2"/>
  <c r="P37" i="42" s="1"/>
  <c r="N11" i="2"/>
  <c r="N37" i="42" s="1"/>
  <c r="Q10" i="2"/>
  <c r="Q36" i="42" s="1"/>
  <c r="P10" i="2"/>
  <c r="P36" i="42" s="1"/>
  <c r="N10" i="2"/>
  <c r="N36" i="42" s="1"/>
  <c r="Q9" i="2"/>
  <c r="Q35" i="42" s="1"/>
  <c r="P9" i="2"/>
  <c r="P35" i="42" s="1"/>
  <c r="N9" i="2"/>
  <c r="N35" i="42" s="1"/>
  <c r="Q8" i="2"/>
  <c r="Q34" i="42" s="1"/>
  <c r="P8" i="2"/>
  <c r="P34" i="42" s="1"/>
  <c r="N8" i="2"/>
  <c r="N34" i="42" s="1"/>
  <c r="P7" i="2"/>
  <c r="P33" i="42" s="1"/>
  <c r="N7" i="2"/>
  <c r="N33" i="42" s="1"/>
  <c r="L7" i="2"/>
  <c r="L33" i="42" s="1"/>
  <c r="Y11" i="27"/>
  <c r="Y5" i="27"/>
  <c r="W12" i="27"/>
  <c r="W9" i="27"/>
  <c r="U6" i="27"/>
  <c r="W5" i="27"/>
  <c r="U5" i="27"/>
  <c r="S5" i="27"/>
  <c r="M11" i="27"/>
  <c r="O5" i="27"/>
  <c r="M5" i="27"/>
  <c r="R8" i="5" l="1"/>
  <c r="R123" i="42" s="1"/>
  <c r="Q123" i="42"/>
  <c r="R10" i="5"/>
  <c r="R125" i="42" s="1"/>
  <c r="Q125" i="42"/>
  <c r="R7" i="5"/>
  <c r="R122" i="42" s="1"/>
  <c r="Q122" i="42"/>
  <c r="R9" i="5"/>
  <c r="R124" i="42" s="1"/>
  <c r="Q124" i="42"/>
  <c r="R9" i="3"/>
  <c r="R44" i="42" s="1"/>
  <c r="Q44" i="42"/>
  <c r="R8" i="3"/>
  <c r="R43" i="42" s="1"/>
  <c r="Q43" i="42"/>
  <c r="R7" i="3"/>
  <c r="R42" i="42" s="1"/>
  <c r="Q42" i="42"/>
  <c r="R7" i="7"/>
  <c r="R20" i="42" s="1"/>
  <c r="Q20" i="42"/>
  <c r="R9" i="7"/>
  <c r="R22" i="42" s="1"/>
  <c r="Q22" i="42"/>
  <c r="R8" i="7"/>
  <c r="R21" i="42" s="1"/>
  <c r="Q21" i="42"/>
  <c r="R10" i="7"/>
  <c r="R23" i="42" s="1"/>
  <c r="Q23" i="42"/>
  <c r="R12" i="7"/>
  <c r="R25" i="42" s="1"/>
  <c r="Q25" i="42"/>
  <c r="R7" i="8"/>
  <c r="R49" i="42" s="1"/>
  <c r="Q49" i="42"/>
  <c r="R9" i="8"/>
  <c r="R51" i="42" s="1"/>
  <c r="Q51" i="42"/>
  <c r="R11" i="8"/>
  <c r="R53" i="42" s="1"/>
  <c r="Q53" i="42"/>
  <c r="R8" i="8"/>
  <c r="R50" i="42" s="1"/>
  <c r="Q50" i="42"/>
  <c r="R10" i="8"/>
  <c r="R52" i="42" s="1"/>
  <c r="Q52" i="42"/>
  <c r="R7" i="6"/>
  <c r="R94" i="42" s="1"/>
  <c r="Q94" i="42"/>
  <c r="R9" i="6"/>
  <c r="R96" i="42" s="1"/>
  <c r="Q96" i="42"/>
  <c r="R11" i="6"/>
  <c r="R98" i="42" s="1"/>
  <c r="Q98" i="42"/>
  <c r="R8" i="6"/>
  <c r="R95" i="42" s="1"/>
  <c r="Q95" i="42"/>
  <c r="R10" i="6"/>
  <c r="R97" i="42" s="1"/>
  <c r="Q97" i="42"/>
  <c r="R12" i="6"/>
  <c r="R99" i="42" s="1"/>
  <c r="Q99" i="42"/>
  <c r="R21" i="4"/>
  <c r="R11" i="7"/>
  <c r="R24" i="42" s="1"/>
  <c r="R7" i="4"/>
  <c r="R110" i="42" s="1"/>
  <c r="R8" i="4"/>
  <c r="R111" i="42" s="1"/>
  <c r="R10" i="4"/>
  <c r="R113" i="42" s="1"/>
  <c r="R12" i="4"/>
  <c r="R115" i="42" s="1"/>
  <c r="R9" i="4"/>
  <c r="R112" i="42" s="1"/>
  <c r="R11" i="4"/>
  <c r="R114" i="42" s="1"/>
  <c r="R10" i="2"/>
  <c r="R36" i="42" s="1"/>
  <c r="R7" i="2"/>
  <c r="R33" i="42" s="1"/>
  <c r="R8" i="2"/>
  <c r="R34" i="42" s="1"/>
  <c r="R9" i="2"/>
  <c r="R35" i="42" s="1"/>
  <c r="R11" i="2"/>
  <c r="R37" i="42" s="1"/>
  <c r="Q13" i="27"/>
  <c r="W13" i="27"/>
  <c r="Y13" i="27"/>
  <c r="U13" i="27"/>
  <c r="M13" i="27"/>
  <c r="O13" i="27"/>
  <c r="S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G24" i="36" l="1"/>
  <c r="G30" i="36" s="1"/>
  <c r="D22" i="36"/>
  <c r="D30" i="36" s="1"/>
  <c r="F22" i="36"/>
  <c r="F30" i="36" s="1"/>
  <c r="C22" i="36"/>
  <c r="C30" i="36" s="1"/>
  <c r="I14" i="19" l="1"/>
  <c r="I13" i="19"/>
  <c r="I12" i="19"/>
  <c r="I11" i="19"/>
  <c r="I10" i="19"/>
  <c r="I9" i="19"/>
  <c r="I8" i="19"/>
  <c r="I7" i="25"/>
  <c r="H7" i="25"/>
  <c r="H63" i="42" s="1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11" i="8"/>
  <c r="I10" i="8"/>
  <c r="I9" i="8"/>
  <c r="I8" i="8"/>
  <c r="I7" i="8"/>
  <c r="H29" i="8"/>
  <c r="H28" i="8"/>
  <c r="H27" i="8"/>
  <c r="H26" i="8"/>
  <c r="H25" i="8"/>
  <c r="H24" i="8"/>
  <c r="H23" i="8"/>
  <c r="H22" i="8"/>
  <c r="H11" i="8"/>
  <c r="H53" i="42" s="1"/>
  <c r="H10" i="8"/>
  <c r="H52" i="42" s="1"/>
  <c r="H9" i="8"/>
  <c r="H51" i="42" s="1"/>
  <c r="H8" i="8"/>
  <c r="H50" i="42" s="1"/>
  <c r="H7" i="8"/>
  <c r="H49" i="42" s="1"/>
  <c r="I12" i="7"/>
  <c r="I11" i="7"/>
  <c r="I24" i="42" s="1"/>
  <c r="J10" i="7"/>
  <c r="J23" i="42" s="1"/>
  <c r="I9" i="7"/>
  <c r="I8" i="7"/>
  <c r="I7" i="7"/>
  <c r="H12" i="7"/>
  <c r="H25" i="42" s="1"/>
  <c r="H11" i="7"/>
  <c r="H24" i="42" s="1"/>
  <c r="H10" i="7"/>
  <c r="H23" i="42" s="1"/>
  <c r="H9" i="7"/>
  <c r="H22" i="42" s="1"/>
  <c r="H8" i="7"/>
  <c r="H21" i="42" s="1"/>
  <c r="H7" i="7"/>
  <c r="H20" i="42" s="1"/>
  <c r="I7" i="6"/>
  <c r="I27" i="6"/>
  <c r="J27" i="6" s="1"/>
  <c r="I26" i="6"/>
  <c r="J26" i="6" s="1"/>
  <c r="I25" i="6"/>
  <c r="J25" i="6" s="1"/>
  <c r="I22" i="6"/>
  <c r="J22" i="6" s="1"/>
  <c r="I21" i="6"/>
  <c r="J21" i="6" s="1"/>
  <c r="I20" i="6"/>
  <c r="J20" i="6" s="1"/>
  <c r="I19" i="6"/>
  <c r="J19" i="6" s="1"/>
  <c r="I18" i="6"/>
  <c r="J18" i="6" s="1"/>
  <c r="I12" i="6"/>
  <c r="I11" i="6"/>
  <c r="I10" i="6"/>
  <c r="I9" i="6"/>
  <c r="I8" i="6"/>
  <c r="H27" i="6"/>
  <c r="H26" i="6"/>
  <c r="H25" i="6"/>
  <c r="H22" i="6"/>
  <c r="H21" i="6"/>
  <c r="H20" i="6"/>
  <c r="H19" i="6"/>
  <c r="H18" i="6"/>
  <c r="H12" i="6"/>
  <c r="H99" i="42" s="1"/>
  <c r="H11" i="6"/>
  <c r="H98" i="42" s="1"/>
  <c r="H10" i="6"/>
  <c r="H97" i="42" s="1"/>
  <c r="H9" i="6"/>
  <c r="H96" i="42" s="1"/>
  <c r="H8" i="6"/>
  <c r="H95" i="42" s="1"/>
  <c r="H7" i="6"/>
  <c r="H94" i="42" s="1"/>
  <c r="J10" i="5"/>
  <c r="J125" i="42" s="1"/>
  <c r="J9" i="5"/>
  <c r="J124" i="42" s="1"/>
  <c r="J8" i="5"/>
  <c r="J123" i="42" s="1"/>
  <c r="J7" i="5"/>
  <c r="J122" i="42" s="1"/>
  <c r="I19" i="4"/>
  <c r="J19" i="4" s="1"/>
  <c r="H10" i="5"/>
  <c r="H125" i="42" s="1"/>
  <c r="H9" i="5"/>
  <c r="H124" i="42" s="1"/>
  <c r="H8" i="5"/>
  <c r="H123" i="42" s="1"/>
  <c r="H7" i="5"/>
  <c r="H122" i="42" s="1"/>
  <c r="I7" i="4"/>
  <c r="I27" i="4"/>
  <c r="J27" i="4" s="1"/>
  <c r="I25" i="4"/>
  <c r="J25" i="4" s="1"/>
  <c r="I24" i="4"/>
  <c r="J24" i="4" s="1"/>
  <c r="I23" i="4"/>
  <c r="J23" i="4" s="1"/>
  <c r="I22" i="4"/>
  <c r="J22" i="4" s="1"/>
  <c r="I21" i="4"/>
  <c r="I20" i="4"/>
  <c r="J20" i="4" s="1"/>
  <c r="I12" i="4"/>
  <c r="I11" i="4"/>
  <c r="I114" i="42" s="1"/>
  <c r="I10" i="4"/>
  <c r="I9" i="4"/>
  <c r="I112" i="42" s="1"/>
  <c r="I8" i="4"/>
  <c r="H8" i="4"/>
  <c r="H111" i="42" s="1"/>
  <c r="H7" i="4"/>
  <c r="H110" i="42" s="1"/>
  <c r="H27" i="4"/>
  <c r="H24" i="4"/>
  <c r="H23" i="4"/>
  <c r="H22" i="4"/>
  <c r="H21" i="4"/>
  <c r="H20" i="4"/>
  <c r="H19" i="4"/>
  <c r="H12" i="4"/>
  <c r="H115" i="42" s="1"/>
  <c r="H11" i="4"/>
  <c r="H114" i="42" s="1"/>
  <c r="H10" i="4"/>
  <c r="H113" i="42" s="1"/>
  <c r="H9" i="4"/>
  <c r="H112" i="42" s="1"/>
  <c r="I7" i="3"/>
  <c r="I17" i="3"/>
  <c r="J17" i="3" s="1"/>
  <c r="I16" i="3"/>
  <c r="J16" i="3" s="1"/>
  <c r="I15" i="3"/>
  <c r="J15" i="3" s="1"/>
  <c r="I9" i="3"/>
  <c r="I8" i="3"/>
  <c r="L17" i="3"/>
  <c r="L16" i="3"/>
  <c r="L15" i="3"/>
  <c r="L9" i="3"/>
  <c r="L44" i="42" s="1"/>
  <c r="L8" i="3"/>
  <c r="L43" i="42" s="1"/>
  <c r="L7" i="3"/>
  <c r="L42" i="42" s="1"/>
  <c r="G18" i="3"/>
  <c r="H17" i="3"/>
  <c r="H16" i="3"/>
  <c r="H15" i="3"/>
  <c r="H9" i="3"/>
  <c r="H44" i="42" s="1"/>
  <c r="H8" i="3"/>
  <c r="H43" i="42" s="1"/>
  <c r="H7" i="3"/>
  <c r="H42" i="42" s="1"/>
  <c r="I21" i="2"/>
  <c r="J21" i="2" s="1"/>
  <c r="I20" i="2"/>
  <c r="J20" i="2" s="1"/>
  <c r="I19" i="2"/>
  <c r="J19" i="2" s="1"/>
  <c r="I18" i="2"/>
  <c r="J18" i="2" s="1"/>
  <c r="I8" i="2"/>
  <c r="I9" i="2"/>
  <c r="I35" i="42" s="1"/>
  <c r="I10" i="2"/>
  <c r="I11" i="2"/>
  <c r="I37" i="42" s="1"/>
  <c r="D7" i="2"/>
  <c r="D33" i="42" s="1"/>
  <c r="F7" i="2"/>
  <c r="F33" i="42" s="1"/>
  <c r="H7" i="2"/>
  <c r="H33" i="42" s="1"/>
  <c r="D8" i="2"/>
  <c r="D34" i="42" s="1"/>
  <c r="F8" i="2"/>
  <c r="F34" i="42" s="1"/>
  <c r="H8" i="2"/>
  <c r="H34" i="42" s="1"/>
  <c r="L8" i="2"/>
  <c r="L34" i="42" s="1"/>
  <c r="D9" i="2"/>
  <c r="D35" i="42" s="1"/>
  <c r="F9" i="2"/>
  <c r="F35" i="42" s="1"/>
  <c r="H9" i="2"/>
  <c r="H35" i="42" s="1"/>
  <c r="L9" i="2"/>
  <c r="L35" i="42" s="1"/>
  <c r="D10" i="2"/>
  <c r="D36" i="42" s="1"/>
  <c r="F10" i="2"/>
  <c r="F36" i="42" s="1"/>
  <c r="H10" i="2"/>
  <c r="H36" i="42" s="1"/>
  <c r="L10" i="2"/>
  <c r="L36" i="42" s="1"/>
  <c r="D11" i="2"/>
  <c r="D37" i="42" s="1"/>
  <c r="F11" i="2"/>
  <c r="F37" i="42" s="1"/>
  <c r="H11" i="2"/>
  <c r="H37" i="42" s="1"/>
  <c r="L11" i="2"/>
  <c r="L37" i="42" s="1"/>
  <c r="B12" i="2"/>
  <c r="D17" i="2"/>
  <c r="F17" i="2"/>
  <c r="H17" i="2"/>
  <c r="L17" i="2"/>
  <c r="D18" i="2"/>
  <c r="F18" i="2"/>
  <c r="H18" i="2"/>
  <c r="L18" i="2"/>
  <c r="D19" i="2"/>
  <c r="F19" i="2"/>
  <c r="H19" i="2"/>
  <c r="L19" i="2"/>
  <c r="D20" i="2"/>
  <c r="F20" i="2"/>
  <c r="H20" i="2"/>
  <c r="L20" i="2"/>
  <c r="D21" i="2"/>
  <c r="F21" i="2"/>
  <c r="H21" i="2"/>
  <c r="L21" i="2"/>
  <c r="B22" i="2"/>
  <c r="G22" i="2"/>
  <c r="K22" i="2"/>
  <c r="Q22" i="2" s="1"/>
  <c r="B38" i="42" l="1"/>
  <c r="H12" i="2"/>
  <c r="H38" i="42" s="1"/>
  <c r="P12" i="2"/>
  <c r="P38" i="42" s="1"/>
  <c r="L12" i="2"/>
  <c r="L38" i="42" s="1"/>
  <c r="F12" i="2"/>
  <c r="F38" i="42" s="1"/>
  <c r="N12" i="2"/>
  <c r="N38" i="42" s="1"/>
  <c r="D12" i="2"/>
  <c r="D38" i="42" s="1"/>
  <c r="J12" i="2"/>
  <c r="J38" i="42" s="1"/>
  <c r="J8" i="4"/>
  <c r="J111" i="42" s="1"/>
  <c r="I111" i="42"/>
  <c r="J10" i="4"/>
  <c r="J113" i="42" s="1"/>
  <c r="I113" i="42"/>
  <c r="J12" i="4"/>
  <c r="J115" i="42" s="1"/>
  <c r="I115" i="42"/>
  <c r="J7" i="4"/>
  <c r="J110" i="42" s="1"/>
  <c r="I110" i="42"/>
  <c r="J7" i="25"/>
  <c r="J63" i="42" s="1"/>
  <c r="I63" i="42"/>
  <c r="J9" i="3"/>
  <c r="J44" i="42" s="1"/>
  <c r="I44" i="42"/>
  <c r="J7" i="3"/>
  <c r="J42" i="42" s="1"/>
  <c r="I42" i="42"/>
  <c r="J8" i="3"/>
  <c r="J43" i="42" s="1"/>
  <c r="I43" i="42"/>
  <c r="J10" i="2"/>
  <c r="J36" i="42" s="1"/>
  <c r="I36" i="42"/>
  <c r="J8" i="2"/>
  <c r="J34" i="42" s="1"/>
  <c r="I34" i="42"/>
  <c r="J7" i="7"/>
  <c r="J20" i="42" s="1"/>
  <c r="I20" i="42"/>
  <c r="J9" i="7"/>
  <c r="J22" i="42" s="1"/>
  <c r="I22" i="42"/>
  <c r="J8" i="7"/>
  <c r="J21" i="42" s="1"/>
  <c r="I21" i="42"/>
  <c r="J12" i="7"/>
  <c r="J25" i="42" s="1"/>
  <c r="I25" i="42"/>
  <c r="J8" i="8"/>
  <c r="J50" i="42" s="1"/>
  <c r="I50" i="42"/>
  <c r="J10" i="8"/>
  <c r="J52" i="42" s="1"/>
  <c r="I52" i="42"/>
  <c r="J7" i="8"/>
  <c r="J49" i="42" s="1"/>
  <c r="I49" i="42"/>
  <c r="J9" i="8"/>
  <c r="J51" i="42" s="1"/>
  <c r="I51" i="42"/>
  <c r="J11" i="8"/>
  <c r="J53" i="42" s="1"/>
  <c r="I53" i="42"/>
  <c r="J8" i="19"/>
  <c r="J9" i="42" s="1"/>
  <c r="I9" i="42"/>
  <c r="J10" i="19"/>
  <c r="J11" i="42" s="1"/>
  <c r="I11" i="42"/>
  <c r="J12" i="19"/>
  <c r="J13" i="42" s="1"/>
  <c r="I13" i="42"/>
  <c r="J14" i="19"/>
  <c r="J15" i="42" s="1"/>
  <c r="I15" i="42"/>
  <c r="J9" i="19"/>
  <c r="J10" i="42" s="1"/>
  <c r="I10" i="42"/>
  <c r="J11" i="19"/>
  <c r="J12" i="42" s="1"/>
  <c r="I12" i="42"/>
  <c r="J13" i="19"/>
  <c r="J14" i="42" s="1"/>
  <c r="I14" i="42"/>
  <c r="J8" i="6"/>
  <c r="J95" i="42" s="1"/>
  <c r="I95" i="42"/>
  <c r="J10" i="6"/>
  <c r="J97" i="42" s="1"/>
  <c r="I97" i="42"/>
  <c r="J12" i="6"/>
  <c r="J99" i="42" s="1"/>
  <c r="I99" i="42"/>
  <c r="J9" i="6"/>
  <c r="J96" i="42" s="1"/>
  <c r="I96" i="42"/>
  <c r="J11" i="6"/>
  <c r="J98" i="42" s="1"/>
  <c r="I98" i="42"/>
  <c r="J7" i="6"/>
  <c r="J94" i="42" s="1"/>
  <c r="I94" i="42"/>
  <c r="R12" i="2"/>
  <c r="R38" i="42" s="1"/>
  <c r="J21" i="4"/>
  <c r="H22" i="2"/>
  <c r="D22" i="2"/>
  <c r="J11" i="2"/>
  <c r="J37" i="42" s="1"/>
  <c r="R22" i="2"/>
  <c r="P22" i="2"/>
  <c r="N22" i="2"/>
  <c r="J9" i="4"/>
  <c r="J112" i="42" s="1"/>
  <c r="J11" i="4"/>
  <c r="J114" i="42" s="1"/>
  <c r="J11" i="7"/>
  <c r="J24" i="42" s="1"/>
  <c r="J9" i="2"/>
  <c r="J35" i="42" s="1"/>
  <c r="I22" i="2"/>
  <c r="J22" i="2" s="1"/>
  <c r="L22" i="2"/>
  <c r="F22" i="2"/>
  <c r="J4" i="34"/>
  <c r="J17" i="34" s="1"/>
  <c r="R4" i="34"/>
  <c r="R17" i="34" s="1"/>
  <c r="S17" i="34" s="1"/>
  <c r="K4" i="34" l="1"/>
  <c r="Q4" i="34"/>
  <c r="Q17" i="34" s="1"/>
  <c r="S4" i="34"/>
  <c r="I4" i="34"/>
  <c r="I17" i="34" s="1"/>
  <c r="M4" i="34"/>
  <c r="M17" i="34" s="1"/>
  <c r="G4" i="34"/>
  <c r="E4" i="34"/>
  <c r="L7" i="25" l="1"/>
  <c r="L63" i="42" s="1"/>
  <c r="F7" i="25"/>
  <c r="F63" i="42" s="1"/>
  <c r="D7" i="25"/>
  <c r="D63" i="42" s="1"/>
  <c r="L23" i="8" l="1"/>
  <c r="L24" i="8"/>
  <c r="L25" i="8"/>
  <c r="L26" i="8"/>
  <c r="L27" i="8"/>
  <c r="L28" i="8"/>
  <c r="L29" i="8"/>
  <c r="L22" i="8"/>
  <c r="F23" i="8"/>
  <c r="F24" i="8"/>
  <c r="F25" i="8"/>
  <c r="F26" i="8"/>
  <c r="F27" i="8"/>
  <c r="F28" i="8"/>
  <c r="F29" i="8"/>
  <c r="F22" i="8"/>
  <c r="D23" i="8"/>
  <c r="D24" i="8"/>
  <c r="D25" i="8"/>
  <c r="D26" i="8"/>
  <c r="D27" i="8"/>
  <c r="D28" i="8"/>
  <c r="D29" i="8"/>
  <c r="D22" i="8"/>
  <c r="L8" i="8"/>
  <c r="L50" i="42" s="1"/>
  <c r="L9" i="8"/>
  <c r="L51" i="42" s="1"/>
  <c r="L10" i="8"/>
  <c r="L52" i="42" s="1"/>
  <c r="L11" i="8"/>
  <c r="L53" i="42" s="1"/>
  <c r="L7" i="8"/>
  <c r="L49" i="42" s="1"/>
  <c r="F8" i="8"/>
  <c r="F50" i="42" s="1"/>
  <c r="F9" i="8"/>
  <c r="F51" i="42" s="1"/>
  <c r="F10" i="8"/>
  <c r="F52" i="42" s="1"/>
  <c r="F11" i="8"/>
  <c r="F53" i="42" s="1"/>
  <c r="F7" i="8"/>
  <c r="F49" i="42" s="1"/>
  <c r="D8" i="8"/>
  <c r="D50" i="42" s="1"/>
  <c r="D9" i="8"/>
  <c r="D51" i="42" s="1"/>
  <c r="D10" i="8"/>
  <c r="D52" i="42" s="1"/>
  <c r="D11" i="8"/>
  <c r="D53" i="42" s="1"/>
  <c r="D7" i="8"/>
  <c r="D49" i="42" s="1"/>
  <c r="L8" i="7"/>
  <c r="L21" i="42" s="1"/>
  <c r="L9" i="7"/>
  <c r="L22" i="42" s="1"/>
  <c r="L10" i="7"/>
  <c r="L23" i="42" s="1"/>
  <c r="L11" i="7"/>
  <c r="L24" i="42" s="1"/>
  <c r="L12" i="7"/>
  <c r="L25" i="42" s="1"/>
  <c r="L7" i="7"/>
  <c r="L20" i="42" s="1"/>
  <c r="F8" i="7"/>
  <c r="F21" i="42" s="1"/>
  <c r="F9" i="7"/>
  <c r="F22" i="42" s="1"/>
  <c r="F10" i="7"/>
  <c r="F23" i="42" s="1"/>
  <c r="F11" i="7"/>
  <c r="F24" i="42" s="1"/>
  <c r="F12" i="7"/>
  <c r="F25" i="42" s="1"/>
  <c r="F7" i="7"/>
  <c r="F20" i="42" s="1"/>
  <c r="D8" i="7"/>
  <c r="D21" i="42" s="1"/>
  <c r="D9" i="7"/>
  <c r="D22" i="42" s="1"/>
  <c r="D10" i="7"/>
  <c r="D23" i="42" s="1"/>
  <c r="D11" i="7"/>
  <c r="D24" i="42" s="1"/>
  <c r="D12" i="7"/>
  <c r="D25" i="42" s="1"/>
  <c r="D7" i="7"/>
  <c r="D20" i="42" s="1"/>
  <c r="L18" i="6"/>
  <c r="L19" i="6"/>
  <c r="L20" i="6"/>
  <c r="L21" i="6"/>
  <c r="L22" i="6"/>
  <c r="L25" i="6"/>
  <c r="L26" i="6"/>
  <c r="L27" i="6"/>
  <c r="F18" i="6"/>
  <c r="F19" i="6"/>
  <c r="F20" i="6"/>
  <c r="F21" i="6"/>
  <c r="F22" i="6"/>
  <c r="F25" i="6"/>
  <c r="F26" i="6"/>
  <c r="F27" i="6"/>
  <c r="D18" i="6"/>
  <c r="D19" i="6"/>
  <c r="D20" i="6"/>
  <c r="D21" i="6"/>
  <c r="D22" i="6"/>
  <c r="D25" i="6"/>
  <c r="D26" i="6"/>
  <c r="D27" i="6"/>
  <c r="L8" i="6"/>
  <c r="L95" i="42" s="1"/>
  <c r="L9" i="6"/>
  <c r="L96" i="42" s="1"/>
  <c r="L10" i="6"/>
  <c r="L97" i="42" s="1"/>
  <c r="L11" i="6"/>
  <c r="L98" i="42" s="1"/>
  <c r="L12" i="6"/>
  <c r="L99" i="42" s="1"/>
  <c r="L7" i="6"/>
  <c r="L94" i="42" s="1"/>
  <c r="F8" i="6"/>
  <c r="F95" i="42" s="1"/>
  <c r="F9" i="6"/>
  <c r="F96" i="42" s="1"/>
  <c r="F10" i="6"/>
  <c r="F97" i="42" s="1"/>
  <c r="F11" i="6"/>
  <c r="F98" i="42" s="1"/>
  <c r="F12" i="6"/>
  <c r="F99" i="42" s="1"/>
  <c r="F7" i="6"/>
  <c r="F94" i="42" s="1"/>
  <c r="D8" i="6"/>
  <c r="D95" i="42" s="1"/>
  <c r="D9" i="6"/>
  <c r="D96" i="42" s="1"/>
  <c r="D10" i="6"/>
  <c r="D97" i="42" s="1"/>
  <c r="D11" i="6"/>
  <c r="D98" i="42" s="1"/>
  <c r="D12" i="6"/>
  <c r="D99" i="42" s="1"/>
  <c r="D7" i="6"/>
  <c r="D94" i="42" s="1"/>
  <c r="L8" i="5"/>
  <c r="L123" i="42" s="1"/>
  <c r="L9" i="5"/>
  <c r="L124" i="42" s="1"/>
  <c r="L10" i="5"/>
  <c r="L125" i="42" s="1"/>
  <c r="L7" i="5"/>
  <c r="L122" i="42" s="1"/>
  <c r="F8" i="5"/>
  <c r="F123" i="42" s="1"/>
  <c r="F9" i="5"/>
  <c r="F124" i="42" s="1"/>
  <c r="F10" i="5"/>
  <c r="F125" i="42" s="1"/>
  <c r="F7" i="5"/>
  <c r="F122" i="42" s="1"/>
  <c r="D8" i="5"/>
  <c r="D123" i="42" s="1"/>
  <c r="D9" i="5"/>
  <c r="D124" i="42" s="1"/>
  <c r="D10" i="5"/>
  <c r="D125" i="42" s="1"/>
  <c r="D7" i="5"/>
  <c r="D122" i="42" s="1"/>
  <c r="C28" i="4"/>
  <c r="B28" i="4"/>
  <c r="L20" i="4"/>
  <c r="L21" i="4"/>
  <c r="L22" i="4"/>
  <c r="L23" i="4"/>
  <c r="L24" i="4"/>
  <c r="L27" i="4"/>
  <c r="F20" i="4"/>
  <c r="F21" i="4"/>
  <c r="F22" i="4"/>
  <c r="F23" i="4"/>
  <c r="F24" i="4"/>
  <c r="F25" i="4"/>
  <c r="F27" i="4"/>
  <c r="F19" i="4"/>
  <c r="D20" i="4"/>
  <c r="D21" i="4"/>
  <c r="D23" i="4"/>
  <c r="D24" i="4"/>
  <c r="D27" i="4"/>
  <c r="D19" i="4"/>
  <c r="L8" i="4"/>
  <c r="L111" i="42" s="1"/>
  <c r="L9" i="4"/>
  <c r="L112" i="42" s="1"/>
  <c r="L10" i="4"/>
  <c r="L113" i="42" s="1"/>
  <c r="L11" i="4"/>
  <c r="L114" i="42" s="1"/>
  <c r="L12" i="4"/>
  <c r="L115" i="42" s="1"/>
  <c r="L7" i="4"/>
  <c r="L110" i="42" s="1"/>
  <c r="F8" i="4"/>
  <c r="F111" i="42" s="1"/>
  <c r="F9" i="4"/>
  <c r="F112" i="42" s="1"/>
  <c r="F10" i="4"/>
  <c r="F113" i="42" s="1"/>
  <c r="F11" i="4"/>
  <c r="F114" i="42" s="1"/>
  <c r="F12" i="4"/>
  <c r="F115" i="42" s="1"/>
  <c r="F7" i="4"/>
  <c r="F110" i="42" s="1"/>
  <c r="D8" i="4"/>
  <c r="D111" i="42" s="1"/>
  <c r="D9" i="4"/>
  <c r="D112" i="42" s="1"/>
  <c r="D10" i="4"/>
  <c r="D113" i="42" s="1"/>
  <c r="D11" i="4"/>
  <c r="D114" i="42" s="1"/>
  <c r="D12" i="4"/>
  <c r="D115" i="42" s="1"/>
  <c r="D7" i="4"/>
  <c r="D110" i="42" s="1"/>
  <c r="F16" i="3"/>
  <c r="F17" i="3"/>
  <c r="F15" i="3"/>
  <c r="D16" i="3"/>
  <c r="D17" i="3"/>
  <c r="D15" i="3"/>
  <c r="F8" i="3"/>
  <c r="F43" i="42" s="1"/>
  <c r="F9" i="3"/>
  <c r="F44" i="42" s="1"/>
  <c r="F7" i="3"/>
  <c r="F42" i="42" s="1"/>
  <c r="D8" i="3"/>
  <c r="D43" i="42" s="1"/>
  <c r="D9" i="3"/>
  <c r="D44" i="42" s="1"/>
  <c r="D7" i="3"/>
  <c r="D42" i="42" s="1"/>
  <c r="H28" i="4" l="1"/>
  <c r="N28" i="4"/>
  <c r="P28" i="4"/>
  <c r="D28" i="4"/>
  <c r="K12" i="27" l="1"/>
  <c r="I11" i="27"/>
  <c r="I10" i="27"/>
  <c r="K9" i="27"/>
  <c r="I6" i="27"/>
  <c r="K5" i="27"/>
  <c r="I5" i="27"/>
  <c r="R15" i="19"/>
  <c r="R16" i="42" s="1"/>
  <c r="Q32" i="8"/>
  <c r="F32" i="8"/>
  <c r="B18" i="3"/>
  <c r="K18" i="3"/>
  <c r="Q18" i="3" s="1"/>
  <c r="E18" i="3"/>
  <c r="F18" i="3" s="1"/>
  <c r="C18" i="3"/>
  <c r="Q16" i="7"/>
  <c r="B13" i="6"/>
  <c r="Q29" i="6"/>
  <c r="B10" i="3"/>
  <c r="B45" i="42" l="1"/>
  <c r="P10" i="3"/>
  <c r="P45" i="42" s="1"/>
  <c r="H10" i="3"/>
  <c r="H45" i="42" s="1"/>
  <c r="N10" i="3"/>
  <c r="N45" i="42" s="1"/>
  <c r="L10" i="3"/>
  <c r="L45" i="42" s="1"/>
  <c r="F10" i="3"/>
  <c r="F45" i="42" s="1"/>
  <c r="D10" i="3"/>
  <c r="D45" i="42" s="1"/>
  <c r="J10" i="3"/>
  <c r="J45" i="42" s="1"/>
  <c r="R16" i="7"/>
  <c r="R29" i="42" s="1"/>
  <c r="Q29" i="42"/>
  <c r="B100" i="42"/>
  <c r="P13" i="6"/>
  <c r="P100" i="42" s="1"/>
  <c r="N13" i="6"/>
  <c r="N100" i="42" s="1"/>
  <c r="L13" i="6"/>
  <c r="L100" i="42" s="1"/>
  <c r="H13" i="6"/>
  <c r="H100" i="42" s="1"/>
  <c r="F13" i="6"/>
  <c r="F100" i="42" s="1"/>
  <c r="J13" i="6"/>
  <c r="J100" i="42" s="1"/>
  <c r="R10" i="3"/>
  <c r="R45" i="42" s="1"/>
  <c r="R29" i="6"/>
  <c r="I13" i="27"/>
  <c r="I29" i="6"/>
  <c r="J29" i="6" s="1"/>
  <c r="N18" i="5"/>
  <c r="N133" i="42" s="1"/>
  <c r="P18" i="5"/>
  <c r="P133" i="42" s="1"/>
  <c r="L28" i="4"/>
  <c r="Q28" i="4"/>
  <c r="R28" i="4" s="1"/>
  <c r="L18" i="5"/>
  <c r="L133" i="42" s="1"/>
  <c r="R18" i="5"/>
  <c r="R133" i="42" s="1"/>
  <c r="H29" i="6"/>
  <c r="N29" i="6"/>
  <c r="P29" i="6"/>
  <c r="R18" i="3"/>
  <c r="R32" i="8"/>
  <c r="R13" i="6"/>
  <c r="R100" i="42" s="1"/>
  <c r="H18" i="3"/>
  <c r="N18" i="3"/>
  <c r="P18" i="3"/>
  <c r="R17" i="8"/>
  <c r="R59" i="42" s="1"/>
  <c r="H32" i="8"/>
  <c r="P32" i="8"/>
  <c r="N32" i="8"/>
  <c r="P16" i="7"/>
  <c r="P29" i="42" s="1"/>
  <c r="K13" i="27"/>
  <c r="F28" i="4"/>
  <c r="I28" i="4"/>
  <c r="J28" i="4" s="1"/>
  <c r="I18" i="3"/>
  <c r="J18" i="3" s="1"/>
  <c r="L18" i="3"/>
  <c r="L32" i="8"/>
  <c r="D18" i="5"/>
  <c r="D133" i="42" s="1"/>
  <c r="J18" i="5"/>
  <c r="J133" i="42" s="1"/>
  <c r="D13" i="6"/>
  <c r="D100" i="42" s="1"/>
  <c r="D32" i="8"/>
  <c r="I32" i="8"/>
  <c r="J32" i="8" s="1"/>
  <c r="F29" i="6"/>
  <c r="L29" i="6"/>
  <c r="D29" i="6"/>
  <c r="H18" i="5"/>
  <c r="H133" i="42" s="1"/>
  <c r="F18" i="5"/>
  <c r="F133" i="42" s="1"/>
  <c r="D18" i="3"/>
  <c r="D41" i="8" l="1"/>
  <c r="P39" i="8"/>
  <c r="H39" i="8"/>
  <c r="D39" i="8"/>
  <c r="N38" i="8"/>
  <c r="F38" i="8"/>
  <c r="N37" i="8"/>
  <c r="F37" i="8"/>
  <c r="P36" i="8"/>
  <c r="H36" i="8"/>
  <c r="D36" i="8"/>
  <c r="D43" i="8"/>
  <c r="D42" i="8"/>
  <c r="D40" i="8"/>
  <c r="N39" i="8"/>
  <c r="F39" i="8"/>
  <c r="P38" i="8"/>
  <c r="H38" i="8"/>
  <c r="D38" i="8"/>
  <c r="P37" i="8"/>
  <c r="H37" i="8"/>
  <c r="D37" i="8"/>
  <c r="N36" i="8"/>
  <c r="F36" i="8"/>
  <c r="N20" i="39" l="1"/>
  <c r="N166" i="42" s="1"/>
  <c r="H20" i="39"/>
  <c r="H166" i="42" s="1"/>
  <c r="L20" i="39"/>
  <c r="L166" i="42" s="1"/>
  <c r="D20" i="39"/>
  <c r="D166" i="42" s="1"/>
  <c r="F20" i="39"/>
  <c r="F166" i="42" s="1"/>
  <c r="R20" i="39"/>
  <c r="R166" i="42" s="1"/>
  <c r="J20" i="39"/>
  <c r="J166" i="4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C1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2 de 40 hs
1 de 20 hs
5 de 10 hs</t>
        </r>
      </text>
    </comment>
    <comment ref="E18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5 de 10 hs
2 de 40 hs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G16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1 de 20 hs
2 de 40 hs
</t>
        </r>
      </text>
    </comment>
    <comment ref="M16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3 de 20hs
1 de 40hs
</t>
        </r>
      </text>
    </comment>
    <comment ref="C1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são 3
inseri 4, erro de digitação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K2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2 DE 40 E 3 DE 20 HS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G2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PROFISSIONAL DE 20 HS
</t>
        </r>
      </text>
    </comment>
    <comment ref="G2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PROFISSIONAL DE 20 HS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  <author>Luis Alberto</author>
  </authors>
  <commentList>
    <comment ref="C19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4 de 20 hs
1 de 40 hs
</t>
        </r>
      </text>
    </comment>
    <comment ref="C20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4 de 20
1 de 20 realiza exame de colposcopia
</t>
        </r>
      </text>
    </comment>
    <comment ref="K20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M20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C2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1 de 20 hs
1 de 30 hs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K28" authorId="0" shapeId="0" xr:uid="{00000000-0006-0000-0A00-000001000000}">
      <text>
        <r>
          <rPr>
            <b/>
            <sz val="8"/>
            <color indexed="81"/>
            <rFont val="Tahoma"/>
            <charset val="1"/>
          </rPr>
          <t xml:space="preserve">1 PROFISSIONAL DE 20 HS E OUTRO DE 40 HS
</t>
        </r>
      </text>
    </comment>
    <comment ref="G39" authorId="0" shapeId="0" xr:uid="{00000000-0006-0000-0A00-000002000000}">
      <text>
        <r>
          <rPr>
            <b/>
            <sz val="8"/>
            <color indexed="81"/>
            <rFont val="Tahoma"/>
            <charset val="1"/>
          </rPr>
          <t xml:space="preserve">11 PROFISSIONAIS DE 12 HS E 1 DE 6 HS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K39" authorId="0" shapeId="0" xr:uid="{00000000-0006-0000-0A00-000003000000}">
      <text>
        <r>
          <rPr>
            <b/>
            <sz val="8"/>
            <color indexed="81"/>
            <rFont val="Tahoma"/>
            <charset val="1"/>
          </rPr>
          <t xml:space="preserve">11 PROFISSIONAIS DE 12 HS E UMA DE 6 HS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M39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SAME: 12 profissionais de 12 hs e uma profissional de 6 hs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M26" authorId="0" shapeId="0" xr:uid="{00000000-0006-0000-0D00-000001000000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unidade não havia passado o total de exames. Feito ofício para correção.</t>
        </r>
      </text>
    </comment>
    <comment ref="M27" authorId="0" shapeId="0" xr:uid="{00000000-0006-0000-0D00-000002000000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unidade não havia passado total de exames. Feito ofício para correção</t>
        </r>
      </text>
    </comment>
    <comment ref="M33" authorId="0" shapeId="0" xr:uid="{00000000-0006-0000-0D00-000003000000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Total era de 1649, retirado 248 (US Obstétrico) e inserido no US com Doppler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188" authorId="0" shapeId="0" xr:uid="{00000000-0006-0000-0E00-000001000000}">
      <text>
        <r>
          <rPr>
            <sz val="9"/>
            <color indexed="81"/>
            <rFont val="Tahoma"/>
            <family val="2"/>
          </rPr>
          <t>Total de Metas da Unidade Basica + Metas da ESF (Generalista e Enfermeiro)</t>
        </r>
      </text>
    </comment>
  </commentList>
</comments>
</file>

<file path=xl/sharedStrings.xml><?xml version="1.0" encoding="utf-8"?>
<sst xmlns="http://schemas.openxmlformats.org/spreadsheetml/2006/main" count="1212" uniqueCount="394">
  <si>
    <t xml:space="preserve">                  OSS/SPDM – Associação Paulista para o Desenvolvimento da Medicina</t>
  </si>
  <si>
    <t>%</t>
  </si>
  <si>
    <t>SOMA</t>
  </si>
  <si>
    <t>Cirurgião Dentista (atendimento individual) UBS</t>
  </si>
  <si>
    <t>Cirurgião Dentista (procedimento) UBS</t>
  </si>
  <si>
    <t>Clinico (consulta) UBS</t>
  </si>
  <si>
    <t>Psiquiatra (consulta) UBS</t>
  </si>
  <si>
    <t>Tocoginecologista (consulta) UBS</t>
  </si>
  <si>
    <t>Categoria Profissional</t>
  </si>
  <si>
    <t>Meta / Mês</t>
  </si>
  <si>
    <t xml:space="preserve">Enfermeiro - ESF (40h) </t>
  </si>
  <si>
    <t>ACS (Visita Domiciliar) - ESF</t>
  </si>
  <si>
    <t xml:space="preserve">Enfermeiro (consulta) - ESF </t>
  </si>
  <si>
    <t>Cirurgião Dentista (20h) UBS</t>
  </si>
  <si>
    <t>Nutricionista (40h)</t>
  </si>
  <si>
    <t>Pediatra (consulta) UBS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</si>
  <si>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</si>
  <si>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</si>
  <si>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</si>
  <si>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</si>
  <si>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</si>
  <si>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</si>
  <si>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</si>
  <si>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</si>
  <si>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</si>
  <si>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</si>
  <si>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</si>
  <si>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</si>
  <si>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</si>
  <si>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</si>
  <si>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</si>
  <si>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</si>
  <si>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</si>
  <si>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</si>
  <si>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</si>
  <si>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</si>
  <si>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</si>
  <si>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</si>
  <si>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</si>
  <si>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</si>
  <si>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</si>
  <si>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</si>
  <si>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</si>
  <si>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</si>
  <si>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</si>
  <si>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</si>
  <si>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</si>
  <si>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</si>
  <si>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</si>
  <si>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</si>
  <si>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</si>
  <si>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</si>
  <si>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</si>
  <si>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</si>
  <si>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</si>
  <si>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</si>
  <si>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</si>
  <si>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</si>
  <si>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</si>
  <si>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</si>
  <si>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</si>
  <si>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</si>
  <si>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</si>
  <si>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</si>
  <si>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</si>
  <si>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</si>
  <si>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</si>
  <si>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</si>
  <si>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</si>
  <si>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</si>
  <si>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</si>
  <si>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</si>
  <si>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</si>
  <si>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</si>
  <si>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</si>
  <si>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</si>
  <si>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</si>
  <si>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</si>
  <si>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</si>
  <si>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</si>
  <si>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</si>
  <si>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</si>
  <si>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</si>
  <si>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</si>
  <si>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</si>
  <si>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</si>
  <si>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</si>
  <si>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</si>
  <si>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</si>
  <si>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</si>
  <si>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</si>
  <si>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</si>
  <si>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</si>
  <si>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</si>
  <si>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</si>
  <si>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</si>
  <si>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</si>
  <si>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</si>
  <si>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</si>
  <si>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</si>
  <si>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</si>
  <si>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</si>
  <si>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</si>
  <si>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</si>
  <si>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</si>
  <si>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</si>
  <si>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</si>
  <si>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</si>
  <si>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</si>
  <si>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</si>
  <si>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</si>
  <si>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</si>
  <si>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</si>
  <si>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</si>
  <si>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</si>
  <si>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</si>
  <si>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</si>
  <si>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</si>
  <si>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</si>
  <si>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</si>
  <si>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</si>
  <si>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</si>
  <si>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</si>
  <si>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</si>
  <si>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</si>
  <si>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</si>
  <si>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</si>
  <si>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</si>
  <si>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</si>
  <si>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</si>
  <si>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</si>
  <si>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</si>
  <si>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</si>
  <si>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OSS/SPDM – Associação Paulista para o Desenvolvimento da Medicina</t>
  </si>
  <si>
    <t>Clínica Médica - Diarista (30 hs)</t>
  </si>
  <si>
    <t>Pediatra - Diarista (30 hs)</t>
  </si>
  <si>
    <t>PRODUÇÃO APD</t>
  </si>
  <si>
    <t>SIM</t>
  </si>
  <si>
    <t>Trimestre</t>
  </si>
  <si>
    <t>Saldo Trimestre</t>
  </si>
  <si>
    <t xml:space="preserve"> Trimestre</t>
  </si>
  <si>
    <t>ACS (Visita Domiciliar)</t>
  </si>
  <si>
    <t xml:space="preserve">Médico Generelista (consulta) </t>
  </si>
  <si>
    <t>ACS  (40h)</t>
  </si>
  <si>
    <t>Médico Generelista (40h)</t>
  </si>
  <si>
    <t>Enfermeiro (40h)</t>
  </si>
  <si>
    <t>Enfermeiro ESF (40h)</t>
  </si>
  <si>
    <t>Cirurgião Dentista II (40h)</t>
  </si>
  <si>
    <t>ACS   (40h)</t>
  </si>
  <si>
    <t>Médico Generelista  (40h)</t>
  </si>
  <si>
    <t xml:space="preserve">Fisioterapeuta (20h) </t>
  </si>
  <si>
    <t xml:space="preserve">Médico Clínico (20h) </t>
  </si>
  <si>
    <t xml:space="preserve">Médico Ginecologista (20h) </t>
  </si>
  <si>
    <t>Psicólogo (40h)</t>
  </si>
  <si>
    <t>Terapeuta Ocupacional (20)</t>
  </si>
  <si>
    <t xml:space="preserve">Educador Físico (40h) </t>
  </si>
  <si>
    <t xml:space="preserve">Médico Geriatra (20h) </t>
  </si>
  <si>
    <t xml:space="preserve">Médico Psiquiatra (20h) </t>
  </si>
  <si>
    <t>ACS</t>
  </si>
  <si>
    <t>Médico Generalista</t>
  </si>
  <si>
    <t>Enfermeiro  - ESF</t>
  </si>
  <si>
    <t>Clínico</t>
  </si>
  <si>
    <t>Pediatra</t>
  </si>
  <si>
    <t>Tocoginecologista</t>
  </si>
  <si>
    <t>ACS (40h)</t>
  </si>
  <si>
    <t>Médico Generalista (40h)</t>
  </si>
  <si>
    <t>Enfermeiro  - ESF (40h)</t>
  </si>
  <si>
    <t>Clínico Geral (20h)</t>
  </si>
  <si>
    <t>Pediatra (20h)</t>
  </si>
  <si>
    <t>Tocoginecologista (20h)</t>
  </si>
  <si>
    <t>Enfermeiro  (40h)</t>
  </si>
  <si>
    <t>Enfermeiro - ESF</t>
  </si>
  <si>
    <t>Clínico Geral</t>
  </si>
  <si>
    <t>Psquiatra</t>
  </si>
  <si>
    <t>Enfermeiro - ESF (40)</t>
  </si>
  <si>
    <t>Psquiatra (20h)</t>
  </si>
  <si>
    <t>Cirurgião Dentista (procedimento)</t>
  </si>
  <si>
    <t>Cirurgião Dentista - ESB II (procedimento)</t>
  </si>
  <si>
    <t>Clínico Geral (consulta)</t>
  </si>
  <si>
    <t>Pediatra (consulta)</t>
  </si>
  <si>
    <t>Psiquiatra (consulta)</t>
  </si>
  <si>
    <t>Clínico Geral (consulta) (20h)</t>
  </si>
  <si>
    <t>Pediatra (consulta) (20h)</t>
  </si>
  <si>
    <t>Psiquiatra (consulta) (20h)</t>
  </si>
  <si>
    <t>Assistente Social (30h)</t>
  </si>
  <si>
    <t>Fisioterapeuta (30h)</t>
  </si>
  <si>
    <t>Enfermeiro - ESF (40h)</t>
  </si>
  <si>
    <t>Fonoaudiólogo (40h)</t>
  </si>
  <si>
    <t>Cirurgião Dentista (atendimento individual) II -  UBS</t>
  </si>
  <si>
    <t>Cirurgião Dentista (atendimento individual) II - UBS</t>
  </si>
  <si>
    <t>Cirurgião dentista - ESB I (atendimento individual) UBS</t>
  </si>
  <si>
    <t>Cirurgião Dentista - ESB II (atendimento individual)</t>
  </si>
  <si>
    <t>Cirurgião Dentista II (40h) UBS</t>
  </si>
  <si>
    <t>Cirurgião Dentista (40h)  UBS</t>
  </si>
  <si>
    <t>Cirugião Dentista - (40h) ESB I  - UBS</t>
  </si>
  <si>
    <t>Cirurgião Dentista (20h)  - UBS</t>
  </si>
  <si>
    <t>Cirurgião Dentista - (40h)  ESB II  - UBS</t>
  </si>
  <si>
    <t>Tocoginecologista (consulta) (20h) UBS</t>
  </si>
  <si>
    <t>Pediatra (consulta) (20h) UBS</t>
  </si>
  <si>
    <t>Terapeuta Oupacional (20h)</t>
  </si>
  <si>
    <t>Cirurgião Dentista - ESF I (atendimento individual)</t>
  </si>
  <si>
    <t>Cirurgião Dentista (atendimento individual)</t>
  </si>
  <si>
    <t>Cirugião Dentista - ESB I ( procedimento)</t>
  </si>
  <si>
    <t>Cirurgião Dentista - ESF I (procedimento)</t>
  </si>
  <si>
    <t>Psiquiatra</t>
  </si>
  <si>
    <t xml:space="preserve">Cirurgião Dentista - (40h) ESF I </t>
  </si>
  <si>
    <t>Cirurgião Dentista (20h)</t>
  </si>
  <si>
    <t>Psiquiatra (20h)</t>
  </si>
  <si>
    <t>Cirurgião Dentista - ESB I (atendimento individual)</t>
  </si>
  <si>
    <t>Cirurgião Dentista - ESB I (procedimento)</t>
  </si>
  <si>
    <t>Tocoginecologia</t>
  </si>
  <si>
    <t>Cirurgião Dentista - ESB I (40h)</t>
  </si>
  <si>
    <t>Tocoginecologia (20h)</t>
  </si>
  <si>
    <t>Agente indígena de Saúde</t>
  </si>
  <si>
    <t>Médico Generalista - Saúde Indígena</t>
  </si>
  <si>
    <t>Cirurgião dentista (procedimento)</t>
  </si>
  <si>
    <t>Enfemeiro Saúde Indígena</t>
  </si>
  <si>
    <t>Fonoaudióloga (40h)</t>
  </si>
  <si>
    <t>Ginecologista (20h)</t>
  </si>
  <si>
    <t>Educador Físico (40h)</t>
  </si>
  <si>
    <t>Fisioterapeuta (20h)</t>
  </si>
  <si>
    <t>Terapeuta Coucpacional (20h)</t>
  </si>
  <si>
    <t>Enfermeiro (consulta e VD)</t>
  </si>
  <si>
    <t>Assistente Social (Sup de equipe)</t>
  </si>
  <si>
    <t>Acompanhante de Idosos</t>
  </si>
  <si>
    <t>Médico Geriatra ou Clínico (Esp Gerontologia)</t>
  </si>
  <si>
    <t>Assistente Social (40h)</t>
  </si>
  <si>
    <t>Aux/m Técnico de Enfermagem (40h)</t>
  </si>
  <si>
    <t>Acompanhante de Idosos (40h)</t>
  </si>
  <si>
    <t>Médico Geriatra ou Clínico (20h)</t>
  </si>
  <si>
    <t>Aux/Técnico de Enfermagem (procedimentos)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</si>
  <si>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</si>
  <si>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</si>
  <si>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</si>
  <si>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</si>
  <si>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Cirurgia Geral (consulta)</t>
  </si>
  <si>
    <t>Cirurgia Vascular (consulta)</t>
  </si>
  <si>
    <t>Oftalmologia (consulta)</t>
  </si>
  <si>
    <t>Ortopedia (consulta)</t>
  </si>
  <si>
    <t>Otorrinolaringologia (consulta)</t>
  </si>
  <si>
    <t>Proctologia (consulta)</t>
  </si>
  <si>
    <t>Urologia (consulta)</t>
  </si>
  <si>
    <t>Cirurgia</t>
  </si>
  <si>
    <t>Ultrassom Geral</t>
  </si>
  <si>
    <t>Ecocardiograma</t>
  </si>
  <si>
    <t>Eletrocardiograma</t>
  </si>
  <si>
    <t>Holter</t>
  </si>
  <si>
    <t>Mapa</t>
  </si>
  <si>
    <t>Teste Ergométrico</t>
  </si>
  <si>
    <t>Colonoscopia</t>
  </si>
  <si>
    <t>Endoscopia Digestiva Alta</t>
  </si>
  <si>
    <t>Avaliação Urodinâmica Completa</t>
  </si>
  <si>
    <t>Nasofibroscopia</t>
  </si>
  <si>
    <t>US Doppler Vascular</t>
  </si>
  <si>
    <t>Mamografia com Laudo</t>
  </si>
  <si>
    <t>Ultrassom Geral com Laudo</t>
  </si>
  <si>
    <t>1 Trimestre</t>
  </si>
  <si>
    <t>Saldo 1 Trimestre</t>
  </si>
  <si>
    <t>ESF/MISTA</t>
  </si>
  <si>
    <t>Psiquiatra (consulta) (20h) UBS</t>
  </si>
  <si>
    <t>Terapeuta Ocupacional (30h)</t>
  </si>
  <si>
    <t>Cirurgião Dentista (24hs)</t>
  </si>
  <si>
    <t>Pediatra (12hs)</t>
  </si>
  <si>
    <t>Clínico Geral (12hs)</t>
  </si>
  <si>
    <t>Clínica Cirúgica (12hs)</t>
  </si>
  <si>
    <t>ACS (40hs)</t>
  </si>
  <si>
    <t>Médico Generalista (40hs)</t>
  </si>
  <si>
    <t>Enfermeiro - ESF (40hs)</t>
  </si>
  <si>
    <t>Clínico Geral (20hs)</t>
  </si>
  <si>
    <t>Tocoginecologista (20hs)</t>
  </si>
  <si>
    <t>Pediatra (20hs)</t>
  </si>
  <si>
    <t>Psiquiatra (20hs)</t>
  </si>
  <si>
    <t>Cirurgião Dentista II (atendimento individual)</t>
  </si>
  <si>
    <t>Cirurgião Dentista II (procedimeto individual)</t>
  </si>
  <si>
    <t>Cirurgião Dentista (atendimento i ndividual)</t>
  </si>
  <si>
    <t>Cirurgião Dentista (prodecimento individual)</t>
  </si>
  <si>
    <t>Cirurgião Dentista II (40hs)</t>
  </si>
  <si>
    <t>Cirurgião Dentista (20hs)</t>
  </si>
  <si>
    <t>Assistente Social (30hs)</t>
  </si>
  <si>
    <t>Enfermeiro (40hs)</t>
  </si>
  <si>
    <t>Fisioterapeuta (30hs)</t>
  </si>
  <si>
    <t>Terapeuta Ocupacional (20h)</t>
  </si>
  <si>
    <t>Clinico Geral (consulta) (20h) UBS</t>
  </si>
  <si>
    <t>Ortopedia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</si>
  <si>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</si>
  <si>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</si>
  <si>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</si>
  <si>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</si>
  <si>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</si>
  <si>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</si>
  <si>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</si>
  <si>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</si>
  <si>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</si>
  <si>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</si>
  <si>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</si>
  <si>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</si>
  <si>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</si>
  <si>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</si>
  <si>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</si>
  <si>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</si>
  <si>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</si>
  <si>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</si>
  <si>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</si>
  <si>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</si>
  <si>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</si>
  <si>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</si>
  <si>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</si>
  <si>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</si>
  <si>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</si>
  <si>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</si>
  <si>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</si>
  <si>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</si>
  <si>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Atendimento de Urgencia</t>
  </si>
  <si>
    <t>Atendimento Com Observação</t>
  </si>
  <si>
    <t>CONSOLIDADO</t>
  </si>
  <si>
    <t>Meta Mês</t>
  </si>
  <si>
    <t>Total Acumulado</t>
  </si>
  <si>
    <t>Total Consultas Ambulatoriais (Hora Certa)</t>
  </si>
  <si>
    <t>Total de Cirurgias (Hora Certa)</t>
  </si>
  <si>
    <t>Total de Consulta Ambulatoriais (UBS's)</t>
  </si>
  <si>
    <t>Total Consultas Ambulatóriais (ESF)</t>
  </si>
  <si>
    <t>Total de Atendimentos Odontológicos (UBS's)</t>
  </si>
  <si>
    <t>Total de Atendimentos Odontológicos (ESF)</t>
  </si>
  <si>
    <t>Total Geral UBS/ESF/AMAE</t>
  </si>
  <si>
    <t>Total de Visitas ACS (ESF)</t>
  </si>
  <si>
    <t>Total de Procedimentos Odontológicos (UBS's)</t>
  </si>
  <si>
    <t>Total de Procedimentos Odontológicos (ESF)</t>
  </si>
  <si>
    <t>Total Outros Indicadores</t>
  </si>
  <si>
    <t>Total Exames Realizados (SADT)</t>
  </si>
  <si>
    <t>Total SADT</t>
  </si>
  <si>
    <t>Dermatologia - (consulta)</t>
  </si>
  <si>
    <t>JAN</t>
  </si>
  <si>
    <t>FEV</t>
  </si>
  <si>
    <t>MAR</t>
  </si>
  <si>
    <t>ABR</t>
  </si>
  <si>
    <t>MAI</t>
  </si>
  <si>
    <t>JUN</t>
  </si>
  <si>
    <t>REDE ASSISTENCIAL DA STS  BUTANTÃ  - ANO 2017</t>
  </si>
  <si>
    <t>EQUIPE MÍNIMA -  UBS VILA DALVA – MISTA -  2017</t>
  </si>
  <si>
    <t xml:space="preserve">PRODUÇÃO -  UBS VILA DALVA – MISTA - 2017  </t>
  </si>
  <si>
    <t>PRODUÇÃO - UBS JARDIM BOA VISTA - MISTA – 2017</t>
  </si>
  <si>
    <t>EQUIPE MINÍMA - UBS JARDIM BOA VISTA - MISTA – 2017</t>
  </si>
  <si>
    <t>PRODUÇÃO - ATENÇÃO BÁSICA - UBS JARDIM D´ ABRIL - 5 ESF+ 1 ESB MODALIDADE II – 2017</t>
  </si>
  <si>
    <t>EQUIPE MÍNIMA - ATENÇÃO BÁSICA - UBS JARDIM D´ ABRIL - 5 ESF+ 1 ESB MODALIDADE II – 2017</t>
  </si>
  <si>
    <t>EQUIPE MINÍMA -  ATENÇÃO BÁSICA - UBS JARDIM D´ ABRIL - NASF  –  2017</t>
  </si>
  <si>
    <t>PRODUÇÃO - ATENÇÃO BÁSICA - UBS JARDIM JAQUELINE ESF 2017</t>
  </si>
  <si>
    <t>EQUIPE MÍNIMA - ATENÇÃO BÁSICA - UBS JARDIM JAQUELINE ESF 2017</t>
  </si>
  <si>
    <t>PRODUÇÃO - UBS MALTA CARDOSO - MISTA –  2017</t>
  </si>
  <si>
    <t>EQUIPE MINÍMA - UBS MALTA CARDOSO - MISTA – 2017</t>
  </si>
  <si>
    <t>EQUIPE MINÍMA -  ATENÇÃO BÁSICA - UBS MALTA CARDOSO - NASF  –  2017</t>
  </si>
  <si>
    <t>PRODUÇÃO - UBS REAL PARQUE - MISTA – 2017</t>
  </si>
  <si>
    <t>PRODUÇÃO - UBS SÃO REMO - MISTA – 2017</t>
  </si>
  <si>
    <t>EQUIPE MINÍMA -  UBS SÃO REMO –  MISTA - 2017</t>
  </si>
  <si>
    <t>PRODUÇÃO - AMA/ UBS VILA SONIA - TRADICIONAL –  2017</t>
  </si>
  <si>
    <t>EQUIPE MÍNIMA - AMA/ UBS VILA SONIA - TRADICIONAL – 2017</t>
  </si>
  <si>
    <t>PRODUÇÃO - SERVIÇOS DE APOIO MDIAGNÓSTICO E TERAPÊUTICO - VILA SONIA - 2017</t>
  </si>
  <si>
    <t>EQUIPE MINIMA - AMA VILA SONIA– 2017</t>
  </si>
  <si>
    <t>PRODUÇÃO - AMA/ UBS PAULO VI - MISTA –  2017</t>
  </si>
  <si>
    <t>EQUIPE MINÍMA - UBS PAULO VI - MISTA –  2017</t>
  </si>
  <si>
    <t>EQUIPE MINÍMA -  ATENÇÃO BÁSICA - UBS PAULO VI - NASF  –  2017</t>
  </si>
  <si>
    <t>EQUIPE MINIMA - AMA PAULO VI – 2017</t>
  </si>
  <si>
    <t>PRODUÇÃO - AMA/ UBS SÃO JORGE - MISTA – 2017</t>
  </si>
  <si>
    <t>EQUIPE MÍNIMA - AMA/ UBS SÃO JORGE - MISTA – 2017</t>
  </si>
  <si>
    <t>EQUIPE MINIMA - AMA SÃO JORGE – 2017</t>
  </si>
  <si>
    <t>PRODUÇÃO - PSM BANDEIRANTES - DR CAETANO VIRGILIO NERRO -  2017</t>
  </si>
  <si>
    <t>EQUIPE MÍNIMA - PSM BANDEIRANTES - DR CAETANO VIRGILIO NERRO -  2017</t>
  </si>
  <si>
    <t>PRODUÇÃO - PAI/UBS BUTANTA – 2017</t>
  </si>
  <si>
    <t>PRODUÇÃO - PAI/ UBS BUTANTA – 2017</t>
  </si>
  <si>
    <t>PRODUÇÃO - SERVIÇOS CIRÚRGICOS  DO HD - REDE HORA CERTA – 2017</t>
  </si>
  <si>
    <t>PRODUÇÃO - SERVIÇOS DE APOIO MDIAGNÓSTICO E TERAPÊUTICO - HD HORA CERTA - 2017</t>
  </si>
  <si>
    <t>% Acumulado</t>
  </si>
  <si>
    <t>Clínico Geral (Diarista) (20h)</t>
  </si>
  <si>
    <t>Pediatra (Diarista) (20h)</t>
  </si>
  <si>
    <t>Atendimento Ortopedia</t>
  </si>
  <si>
    <t xml:space="preserve"> </t>
  </si>
  <si>
    <t>2.5</t>
  </si>
  <si>
    <t>3.5</t>
  </si>
  <si>
    <t>DEZ</t>
  </si>
  <si>
    <t>NOV</t>
  </si>
  <si>
    <t>OUT</t>
  </si>
  <si>
    <t>SET</t>
  </si>
  <si>
    <t>AGO</t>
  </si>
  <si>
    <t>JUL</t>
  </si>
  <si>
    <t>Médico Generalista - Saúde Indígena (40h)</t>
  </si>
  <si>
    <t>Enfermeiro Saúde Indígena (40h)</t>
  </si>
  <si>
    <t>Agente Indígena de Saúde (40h)</t>
  </si>
  <si>
    <t>EQUIPE MINÍMA -  UBS REAL PARQUE –  MISTA - 2017</t>
  </si>
  <si>
    <t>Psiaquiatra</t>
  </si>
  <si>
    <t>Pediatra (Diarista) (30h)</t>
  </si>
  <si>
    <t>Clínico Geral (Diarista) (30h)</t>
  </si>
  <si>
    <t>s/ meta</t>
  </si>
  <si>
    <t>PRODUÇÃO - PSM BANDEIRANTES - DR CAETANO VIRGILIO NETTO -  2017</t>
  </si>
  <si>
    <t>PRODUÇÃO - SERVIÇOS CIRÚRGICOS  DO HOSPITAL DIA - REDE HORA CERTA – 2017</t>
  </si>
  <si>
    <t>PRODUÇÃO - SERVIÇOS DE APOIO MDIAGNÓSTICO E TERAPÊUTICO - HOSPITAL DIA HORA CERTA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</si>
</sst>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#,##0_ ;[Red]\-#,##0\ "/>
    <numFmt numFmtId="168" formatCode="0.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9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double">
        <color indexed="64"/>
      </top>
      <bottom/>
      <diagonal/>
    </border>
    <border>
      <left/>
      <right style="thin">
        <color indexed="58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56">
    <xf numFmtId="0" fontId="0" fillId="0" borderId="0" xfId="0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3" fillId="0" borderId="6" xfId="1" applyFont="1" applyBorder="1"/>
    <xf numFmtId="3" fontId="3" fillId="2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7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1" applyFont="1" applyFill="1" applyBorder="1" applyAlignment="1">
      <alignment vertical="center" wrapText="1"/>
    </xf>
    <xf numFmtId="0" fontId="10" fillId="0" borderId="0" xfId="4"/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/>
    <xf numFmtId="164" fontId="8" fillId="3" borderId="3" xfId="1" applyNumberFormat="1" applyFont="1" applyFill="1" applyBorder="1" applyAlignment="1">
      <alignment horizontal="center" vertical="center" wrapText="1"/>
    </xf>
    <xf numFmtId="164" fontId="8" fillId="7" borderId="3" xfId="1" applyNumberFormat="1" applyFont="1" applyFill="1" applyBorder="1" applyAlignment="1">
      <alignment horizontal="center" vertical="center" wrapText="1"/>
    </xf>
    <xf numFmtId="164" fontId="8" fillId="7" borderId="8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/>
    <xf numFmtId="164" fontId="8" fillId="3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13" borderId="0" xfId="0" applyFont="1" applyFill="1"/>
    <xf numFmtId="3" fontId="3" fillId="2" borderId="8" xfId="1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8" fillId="3" borderId="11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14" borderId="11" xfId="0" applyFont="1" applyFill="1" applyBorder="1" applyAlignment="1">
      <alignment vertical="center" wrapText="1"/>
    </xf>
    <xf numFmtId="0" fontId="0" fillId="14" borderId="11" xfId="0" applyFont="1" applyFill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17" fontId="20" fillId="0" borderId="28" xfId="0" applyNumberFormat="1" applyFont="1" applyBorder="1" applyAlignment="1">
      <alignment horizontal="center" vertical="center" wrapText="1"/>
    </xf>
    <xf numFmtId="17" fontId="20" fillId="0" borderId="29" xfId="0" applyNumberFormat="1" applyFont="1" applyBorder="1" applyAlignment="1">
      <alignment horizontal="center" vertical="center" wrapText="1"/>
    </xf>
    <xf numFmtId="17" fontId="20" fillId="0" borderId="30" xfId="0" applyNumberFormat="1" applyFont="1" applyBorder="1" applyAlignment="1">
      <alignment horizontal="center" vertical="center" wrapText="1"/>
    </xf>
    <xf numFmtId="17" fontId="20" fillId="4" borderId="31" xfId="0" applyNumberFormat="1" applyFont="1" applyFill="1" applyBorder="1" applyAlignment="1">
      <alignment horizontal="center" vertical="center" wrapText="1"/>
    </xf>
    <xf numFmtId="17" fontId="20" fillId="4" borderId="32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18" fillId="0" borderId="13" xfId="0" applyFont="1" applyBorder="1"/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1" applyFont="1" applyBorder="1" applyAlignment="1">
      <alignment vertical="center"/>
    </xf>
    <xf numFmtId="0" fontId="3" fillId="0" borderId="34" xfId="1" applyFont="1" applyBorder="1"/>
    <xf numFmtId="0" fontId="0" fillId="4" borderId="11" xfId="0" applyFont="1" applyFill="1" applyBorder="1" applyAlignment="1">
      <alignment horizontal="left" vertical="center" wrapText="1"/>
    </xf>
    <xf numFmtId="3" fontId="3" fillId="2" borderId="38" xfId="1" applyNumberFormat="1" applyFont="1" applyFill="1" applyBorder="1" applyAlignment="1">
      <alignment horizontal="center" vertical="center" wrapText="1"/>
    </xf>
    <xf numFmtId="3" fontId="4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1" applyNumberFormat="1" applyFont="1" applyBorder="1" applyAlignment="1">
      <alignment horizontal="center" wrapText="1"/>
    </xf>
    <xf numFmtId="0" fontId="4" fillId="0" borderId="39" xfId="1" applyFont="1" applyBorder="1" applyAlignment="1">
      <alignment vertical="center"/>
    </xf>
    <xf numFmtId="0" fontId="3" fillId="0" borderId="42" xfId="1" applyFont="1" applyBorder="1"/>
    <xf numFmtId="3" fontId="3" fillId="2" borderId="41" xfId="1" applyNumberFormat="1" applyFont="1" applyFill="1" applyBorder="1" applyAlignment="1">
      <alignment horizontal="center" vertical="center" wrapText="1"/>
    </xf>
    <xf numFmtId="164" fontId="8" fillId="7" borderId="41" xfId="1" applyNumberFormat="1" applyFont="1" applyFill="1" applyBorder="1" applyAlignment="1">
      <alignment horizontal="center" vertical="center" wrapText="1"/>
    </xf>
    <xf numFmtId="164" fontId="6" fillId="3" borderId="38" xfId="1" applyNumberFormat="1" applyFont="1" applyFill="1" applyBorder="1" applyAlignment="1">
      <alignment horizontal="center" vertical="center" wrapText="1"/>
    </xf>
    <xf numFmtId="164" fontId="6" fillId="7" borderId="38" xfId="1" applyNumberFormat="1" applyFont="1" applyFill="1" applyBorder="1" applyAlignment="1">
      <alignment horizontal="center" vertical="center" wrapText="1"/>
    </xf>
    <xf numFmtId="3" fontId="4" fillId="0" borderId="43" xfId="1" applyNumberFormat="1" applyFont="1" applyBorder="1" applyAlignment="1" applyProtection="1">
      <alignment horizontal="center" vertical="center" wrapText="1"/>
      <protection locked="0"/>
    </xf>
    <xf numFmtId="0" fontId="3" fillId="8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center"/>
    </xf>
    <xf numFmtId="3" fontId="3" fillId="2" borderId="47" xfId="1" applyNumberFormat="1" applyFont="1" applyFill="1" applyBorder="1" applyAlignment="1">
      <alignment horizontal="center" vertical="center" wrapText="1"/>
    </xf>
    <xf numFmtId="0" fontId="3" fillId="8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3" fillId="8" borderId="52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 wrapText="1"/>
    </xf>
    <xf numFmtId="0" fontId="4" fillId="0" borderId="54" xfId="1" applyFont="1" applyBorder="1" applyAlignment="1">
      <alignment vertical="center"/>
    </xf>
    <xf numFmtId="3" fontId="3" fillId="2" borderId="55" xfId="1" applyNumberFormat="1" applyFont="1" applyFill="1" applyBorder="1" applyAlignment="1">
      <alignment horizontal="center" vertical="center" wrapText="1"/>
    </xf>
    <xf numFmtId="3" fontId="4" fillId="0" borderId="55" xfId="1" applyNumberFormat="1" applyFont="1" applyBorder="1" applyAlignment="1" applyProtection="1">
      <alignment horizontal="center" vertical="center" wrapText="1"/>
      <protection locked="0"/>
    </xf>
    <xf numFmtId="0" fontId="3" fillId="8" borderId="56" xfId="1" applyFont="1" applyFill="1" applyBorder="1" applyAlignment="1">
      <alignment horizontal="center" vertical="center"/>
    </xf>
    <xf numFmtId="0" fontId="3" fillId="8" borderId="60" xfId="1" applyFont="1" applyFill="1" applyBorder="1" applyAlignment="1">
      <alignment horizontal="center" vertical="center"/>
    </xf>
    <xf numFmtId="0" fontId="3" fillId="2" borderId="61" xfId="1" applyFont="1" applyFill="1" applyBorder="1" applyAlignment="1">
      <alignment horizontal="center" vertical="center" wrapText="1"/>
    </xf>
    <xf numFmtId="0" fontId="4" fillId="0" borderId="62" xfId="1" applyFont="1" applyBorder="1" applyAlignment="1">
      <alignment vertical="center"/>
    </xf>
    <xf numFmtId="3" fontId="3" fillId="2" borderId="63" xfId="1" applyNumberFormat="1" applyFont="1" applyFill="1" applyBorder="1" applyAlignment="1">
      <alignment horizontal="center" vertical="center" wrapText="1"/>
    </xf>
    <xf numFmtId="3" fontId="4" fillId="0" borderId="63" xfId="1" applyNumberFormat="1" applyFont="1" applyBorder="1" applyAlignment="1" applyProtection="1">
      <alignment horizontal="center" vertical="center" wrapText="1"/>
      <protection locked="0"/>
    </xf>
    <xf numFmtId="0" fontId="4" fillId="0" borderId="64" xfId="1" applyFont="1" applyBorder="1" applyAlignment="1">
      <alignment vertical="center"/>
    </xf>
    <xf numFmtId="3" fontId="3" fillId="2" borderId="65" xfId="1" applyNumberFormat="1" applyFont="1" applyFill="1" applyBorder="1" applyAlignment="1">
      <alignment horizontal="center" vertical="center" wrapText="1"/>
    </xf>
    <xf numFmtId="3" fontId="4" fillId="0" borderId="65" xfId="1" applyNumberFormat="1" applyFont="1" applyBorder="1" applyAlignment="1" applyProtection="1">
      <alignment horizontal="center" vertical="center" wrapText="1"/>
      <protection locked="0"/>
    </xf>
    <xf numFmtId="0" fontId="4" fillId="0" borderId="66" xfId="1" applyFont="1" applyBorder="1" applyAlignment="1">
      <alignment vertical="center"/>
    </xf>
    <xf numFmtId="3" fontId="3" fillId="2" borderId="67" xfId="1" applyNumberFormat="1" applyFont="1" applyFill="1" applyBorder="1" applyAlignment="1">
      <alignment horizontal="center" vertical="center" wrapText="1"/>
    </xf>
    <xf numFmtId="3" fontId="4" fillId="0" borderId="67" xfId="1" applyNumberFormat="1" applyFont="1" applyBorder="1" applyAlignment="1" applyProtection="1">
      <alignment horizontal="center" vertical="center" wrapText="1"/>
      <protection locked="0"/>
    </xf>
    <xf numFmtId="164" fontId="6" fillId="3" borderId="67" xfId="1" applyNumberFormat="1" applyFont="1" applyFill="1" applyBorder="1" applyAlignment="1">
      <alignment horizontal="center" vertical="center" wrapText="1"/>
    </xf>
    <xf numFmtId="0" fontId="3" fillId="8" borderId="68" xfId="1" applyFont="1" applyFill="1" applyBorder="1" applyAlignment="1">
      <alignment horizontal="center" vertical="center"/>
    </xf>
    <xf numFmtId="0" fontId="3" fillId="2" borderId="69" xfId="1" applyFont="1" applyFill="1" applyBorder="1" applyAlignment="1">
      <alignment horizontal="center" vertical="center" wrapText="1"/>
    </xf>
    <xf numFmtId="0" fontId="4" fillId="0" borderId="70" xfId="1" applyFont="1" applyBorder="1" applyAlignment="1">
      <alignment vertical="center"/>
    </xf>
    <xf numFmtId="3" fontId="3" fillId="2" borderId="71" xfId="1" applyNumberFormat="1" applyFont="1" applyFill="1" applyBorder="1" applyAlignment="1">
      <alignment horizontal="center" vertical="center" wrapText="1"/>
    </xf>
    <xf numFmtId="3" fontId="4" fillId="0" borderId="71" xfId="1" applyNumberFormat="1" applyFont="1" applyBorder="1" applyAlignment="1" applyProtection="1">
      <alignment horizontal="center" vertical="center" wrapText="1"/>
      <protection locked="0"/>
    </xf>
    <xf numFmtId="0" fontId="3" fillId="8" borderId="72" xfId="1" applyFont="1" applyFill="1" applyBorder="1" applyAlignment="1">
      <alignment horizontal="center" vertical="center"/>
    </xf>
    <xf numFmtId="0" fontId="3" fillId="2" borderId="73" xfId="1" applyFont="1" applyFill="1" applyBorder="1" applyAlignment="1">
      <alignment horizontal="center" vertical="center" wrapText="1"/>
    </xf>
    <xf numFmtId="0" fontId="4" fillId="0" borderId="74" xfId="1" applyFont="1" applyBorder="1" applyAlignment="1">
      <alignment vertical="center"/>
    </xf>
    <xf numFmtId="3" fontId="3" fillId="2" borderId="75" xfId="1" applyNumberFormat="1" applyFont="1" applyFill="1" applyBorder="1" applyAlignment="1">
      <alignment horizontal="center" vertical="center" wrapText="1"/>
    </xf>
    <xf numFmtId="3" fontId="4" fillId="0" borderId="75" xfId="1" applyNumberFormat="1" applyFont="1" applyBorder="1" applyAlignment="1" applyProtection="1">
      <alignment horizontal="center" vertical="center" wrapText="1"/>
      <protection locked="0"/>
    </xf>
    <xf numFmtId="164" fontId="6" fillId="3" borderId="75" xfId="1" applyNumberFormat="1" applyFont="1" applyFill="1" applyBorder="1" applyAlignment="1">
      <alignment horizontal="center" vertical="center" wrapText="1"/>
    </xf>
    <xf numFmtId="0" fontId="3" fillId="8" borderId="76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 wrapText="1"/>
    </xf>
    <xf numFmtId="0" fontId="3" fillId="8" borderId="78" xfId="1" applyFont="1" applyFill="1" applyBorder="1" applyAlignment="1">
      <alignment horizontal="center" vertical="center"/>
    </xf>
    <xf numFmtId="0" fontId="3" fillId="2" borderId="79" xfId="1" applyFont="1" applyFill="1" applyBorder="1" applyAlignment="1">
      <alignment horizontal="center" vertical="center" wrapText="1"/>
    </xf>
    <xf numFmtId="3" fontId="3" fillId="2" borderId="80" xfId="1" applyNumberFormat="1" applyFont="1" applyFill="1" applyBorder="1" applyAlignment="1">
      <alignment horizontal="center" vertical="center" wrapText="1"/>
    </xf>
    <xf numFmtId="3" fontId="4" fillId="0" borderId="80" xfId="1" applyNumberFormat="1" applyFont="1" applyBorder="1" applyAlignment="1" applyProtection="1">
      <alignment horizontal="center" vertical="center" wrapText="1"/>
      <protection locked="0"/>
    </xf>
    <xf numFmtId="3" fontId="3" fillId="2" borderId="81" xfId="1" applyNumberFormat="1" applyFont="1" applyFill="1" applyBorder="1" applyAlignment="1">
      <alignment horizontal="center" vertical="center" wrapText="1"/>
    </xf>
    <xf numFmtId="3" fontId="4" fillId="0" borderId="81" xfId="1" applyNumberFormat="1" applyFont="1" applyBorder="1" applyAlignment="1" applyProtection="1">
      <alignment horizontal="center" vertical="center" wrapText="1"/>
      <protection locked="0"/>
    </xf>
    <xf numFmtId="3" fontId="3" fillId="2" borderId="82" xfId="1" applyNumberFormat="1" applyFont="1" applyFill="1" applyBorder="1" applyAlignment="1">
      <alignment horizontal="center" vertical="center" wrapText="1"/>
    </xf>
    <xf numFmtId="3" fontId="4" fillId="0" borderId="82" xfId="1" applyNumberFormat="1" applyFont="1" applyBorder="1" applyAlignment="1" applyProtection="1">
      <alignment horizontal="center" vertical="center" wrapText="1"/>
      <protection locked="0"/>
    </xf>
    <xf numFmtId="164" fontId="6" fillId="3" borderId="82" xfId="1" applyNumberFormat="1" applyFont="1" applyFill="1" applyBorder="1" applyAlignment="1">
      <alignment horizontal="center" vertical="center" wrapText="1"/>
    </xf>
    <xf numFmtId="0" fontId="3" fillId="8" borderId="83" xfId="1" applyFont="1" applyFill="1" applyBorder="1" applyAlignment="1">
      <alignment horizontal="center" vertical="center"/>
    </xf>
    <xf numFmtId="0" fontId="3" fillId="2" borderId="84" xfId="1" applyFont="1" applyFill="1" applyBorder="1" applyAlignment="1">
      <alignment horizontal="center" vertical="center" wrapText="1"/>
    </xf>
    <xf numFmtId="0" fontId="4" fillId="0" borderId="85" xfId="1" applyFont="1" applyBorder="1" applyAlignment="1">
      <alignment vertical="center"/>
    </xf>
    <xf numFmtId="3" fontId="3" fillId="2" borderId="86" xfId="1" applyNumberFormat="1" applyFont="1" applyFill="1" applyBorder="1" applyAlignment="1">
      <alignment horizontal="center" vertical="center" wrapText="1"/>
    </xf>
    <xf numFmtId="3" fontId="4" fillId="0" borderId="86" xfId="1" applyNumberFormat="1" applyFont="1" applyBorder="1" applyAlignment="1" applyProtection="1">
      <alignment horizontal="center" vertical="center" wrapText="1"/>
      <protection locked="0"/>
    </xf>
    <xf numFmtId="0" fontId="4" fillId="0" borderId="87" xfId="1" applyFont="1" applyBorder="1" applyAlignment="1">
      <alignment vertical="center"/>
    </xf>
    <xf numFmtId="0" fontId="4" fillId="0" borderId="88" xfId="1" applyFont="1" applyBorder="1" applyAlignment="1">
      <alignment vertical="center"/>
    </xf>
    <xf numFmtId="0" fontId="4" fillId="0" borderId="89" xfId="1" applyFont="1" applyBorder="1" applyAlignment="1">
      <alignment vertical="center"/>
    </xf>
    <xf numFmtId="3" fontId="4" fillId="0" borderId="90" xfId="1" applyNumberFormat="1" applyFont="1" applyBorder="1" applyAlignment="1" applyProtection="1">
      <alignment horizontal="center" vertical="center" wrapText="1"/>
      <protection locked="0"/>
    </xf>
    <xf numFmtId="164" fontId="8" fillId="3" borderId="38" xfId="1" applyNumberFormat="1" applyFont="1" applyFill="1" applyBorder="1" applyAlignment="1">
      <alignment horizontal="center" vertical="center" wrapText="1"/>
    </xf>
    <xf numFmtId="0" fontId="3" fillId="8" borderId="91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 wrapText="1"/>
    </xf>
    <xf numFmtId="0" fontId="3" fillId="8" borderId="92" xfId="1" applyFont="1" applyFill="1" applyBorder="1" applyAlignment="1">
      <alignment horizontal="center" vertical="center"/>
    </xf>
    <xf numFmtId="0" fontId="3" fillId="10" borderId="92" xfId="1" applyFont="1" applyFill="1" applyBorder="1" applyAlignment="1">
      <alignment horizontal="center" vertical="center"/>
    </xf>
    <xf numFmtId="0" fontId="3" fillId="6" borderId="92" xfId="1" applyFont="1" applyFill="1" applyBorder="1" applyAlignment="1">
      <alignment horizontal="center" vertical="center"/>
    </xf>
    <xf numFmtId="0" fontId="4" fillId="0" borderId="93" xfId="1" applyFont="1" applyBorder="1" applyAlignment="1">
      <alignment vertical="center"/>
    </xf>
    <xf numFmtId="164" fontId="6" fillId="9" borderId="38" xfId="1" applyNumberFormat="1" applyFont="1" applyFill="1" applyBorder="1" applyAlignment="1">
      <alignment horizontal="center" vertical="center" wrapText="1"/>
    </xf>
    <xf numFmtId="165" fontId="10" fillId="12" borderId="96" xfId="4" applyNumberFormat="1" applyFill="1" applyBorder="1" applyAlignment="1">
      <alignment horizontal="left" vertical="center"/>
    </xf>
    <xf numFmtId="165" fontId="10" fillId="11" borderId="96" xfId="4" applyNumberFormat="1" applyFill="1" applyBorder="1" applyAlignment="1">
      <alignment horizontal="left" vertical="center"/>
    </xf>
    <xf numFmtId="165" fontId="12" fillId="12" borderId="98" xfId="4" applyNumberFormat="1" applyFont="1" applyFill="1" applyBorder="1" applyAlignment="1">
      <alignment horizontal="left" vertical="center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164" fontId="6" fillId="7" borderId="41" xfId="1" applyNumberFormat="1" applyFont="1" applyFill="1" applyBorder="1" applyAlignment="1">
      <alignment horizontal="center" vertical="center" wrapText="1"/>
    </xf>
    <xf numFmtId="0" fontId="22" fillId="0" borderId="99" xfId="4" applyFont="1" applyBorder="1" applyAlignment="1">
      <alignment vertical="center"/>
    </xf>
    <xf numFmtId="17" fontId="22" fillId="0" borderId="100" xfId="4" applyNumberFormat="1" applyFont="1" applyBorder="1" applyAlignment="1">
      <alignment horizontal="center" vertical="center" wrapText="1"/>
    </xf>
    <xf numFmtId="17" fontId="22" fillId="0" borderId="100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100" xfId="4" applyFont="1" applyBorder="1" applyAlignment="1">
      <alignment horizontal="left" vertical="center" wrapText="1"/>
    </xf>
    <xf numFmtId="0" fontId="23" fillId="4" borderId="100" xfId="4" applyFont="1" applyFill="1" applyBorder="1" applyAlignment="1">
      <alignment horizontal="left" vertical="center"/>
    </xf>
    <xf numFmtId="165" fontId="23" fillId="4" borderId="100" xfId="4" applyNumberFormat="1" applyFont="1" applyFill="1" applyBorder="1" applyAlignment="1">
      <alignment horizontal="left" vertical="center"/>
    </xf>
    <xf numFmtId="3" fontId="23" fillId="0" borderId="100" xfId="0" applyNumberFormat="1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00" xfId="4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23" fillId="4" borderId="100" xfId="0" applyFont="1" applyFill="1" applyBorder="1" applyAlignment="1">
      <alignment horizontal="center" vertical="center"/>
    </xf>
    <xf numFmtId="165" fontId="23" fillId="4" borderId="100" xfId="5" applyNumberFormat="1" applyFont="1" applyFill="1" applyBorder="1" applyAlignment="1">
      <alignment horizontal="left" vertical="center"/>
    </xf>
    <xf numFmtId="0" fontId="23" fillId="4" borderId="100" xfId="0" applyFont="1" applyFill="1" applyBorder="1"/>
    <xf numFmtId="0" fontId="23" fillId="0" borderId="0" xfId="0" applyFont="1" applyAlignment="1">
      <alignment horizontal="center" vertical="center"/>
    </xf>
    <xf numFmtId="165" fontId="23" fillId="4" borderId="99" xfId="4" applyNumberFormat="1" applyFont="1" applyFill="1" applyBorder="1" applyAlignment="1">
      <alignment horizontal="left" vertical="center"/>
    </xf>
    <xf numFmtId="0" fontId="23" fillId="4" borderId="99" xfId="4" applyFont="1" applyFill="1" applyBorder="1" applyAlignment="1">
      <alignment horizontal="left" vertical="center"/>
    </xf>
    <xf numFmtId="0" fontId="23" fillId="0" borderId="99" xfId="0" applyFont="1" applyBorder="1" applyAlignment="1">
      <alignment horizontal="center" vertical="center"/>
    </xf>
    <xf numFmtId="0" fontId="23" fillId="4" borderId="99" xfId="0" applyFont="1" applyFill="1" applyBorder="1"/>
    <xf numFmtId="0" fontId="22" fillId="0" borderId="100" xfId="4" applyFont="1" applyBorder="1" applyAlignment="1">
      <alignment horizontal="left" vertical="center" wrapText="1"/>
    </xf>
    <xf numFmtId="0" fontId="22" fillId="0" borderId="100" xfId="4" applyFont="1" applyFill="1" applyBorder="1" applyAlignment="1">
      <alignment horizontal="left" vertical="center"/>
    </xf>
    <xf numFmtId="165" fontId="22" fillId="0" borderId="100" xfId="4" applyNumberFormat="1" applyFont="1" applyFill="1" applyBorder="1" applyAlignment="1">
      <alignment horizontal="left" vertical="center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17" fillId="0" borderId="0" xfId="0" applyFont="1" applyFill="1" applyBorder="1"/>
    <xf numFmtId="0" fontId="22" fillId="0" borderId="102" xfId="4" applyFont="1" applyBorder="1" applyAlignment="1">
      <alignment vertical="center"/>
    </xf>
    <xf numFmtId="17" fontId="22" fillId="0" borderId="16" xfId="4" applyNumberFormat="1" applyFont="1" applyBorder="1" applyAlignment="1">
      <alignment horizontal="center" vertical="center"/>
    </xf>
    <xf numFmtId="17" fontId="22" fillId="0" borderId="16" xfId="4" applyNumberFormat="1" applyFont="1" applyBorder="1" applyAlignment="1">
      <alignment horizontal="center" vertical="center" wrapText="1"/>
    </xf>
    <xf numFmtId="17" fontId="22" fillId="0" borderId="17" xfId="4" applyNumberFormat="1" applyFont="1" applyBorder="1" applyAlignment="1">
      <alignment horizontal="center" vertical="center"/>
    </xf>
    <xf numFmtId="0" fontId="23" fillId="0" borderId="93" xfId="4" applyFont="1" applyBorder="1" applyAlignment="1">
      <alignment horizontal="left" vertical="center" wrapText="1"/>
    </xf>
    <xf numFmtId="3" fontId="23" fillId="0" borderId="100" xfId="4" applyNumberFormat="1" applyFont="1" applyFill="1" applyBorder="1" applyAlignment="1">
      <alignment horizontal="center" vertical="center"/>
    </xf>
    <xf numFmtId="9" fontId="0" fillId="0" borderId="96" xfId="0" applyNumberForma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22" fillId="0" borderId="97" xfId="4" applyFont="1" applyBorder="1" applyAlignment="1">
      <alignment horizontal="left" vertical="center" wrapText="1"/>
    </xf>
    <xf numFmtId="3" fontId="23" fillId="0" borderId="95" xfId="4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0" fillId="0" borderId="105" xfId="4" applyBorder="1" applyAlignment="1">
      <alignment horizontal="left" vertical="center" wrapText="1"/>
    </xf>
    <xf numFmtId="0" fontId="10" fillId="0" borderId="107" xfId="4" applyBorder="1" applyAlignment="1">
      <alignment horizontal="left" vertical="center" wrapText="1"/>
    </xf>
    <xf numFmtId="0" fontId="12" fillId="0" borderId="108" xfId="4" applyFont="1" applyBorder="1" applyAlignment="1">
      <alignment horizontal="left" vertical="center" wrapText="1"/>
    </xf>
    <xf numFmtId="0" fontId="10" fillId="11" borderId="40" xfId="4" applyFill="1" applyBorder="1" applyAlignment="1">
      <alignment horizontal="left" vertical="center"/>
    </xf>
    <xf numFmtId="165" fontId="10" fillId="11" borderId="109" xfId="4" applyNumberFormat="1" applyFill="1" applyBorder="1" applyAlignment="1">
      <alignment horizontal="left" vertical="center"/>
    </xf>
    <xf numFmtId="0" fontId="10" fillId="11" borderId="93" xfId="4" applyFill="1" applyBorder="1" applyAlignment="1">
      <alignment horizontal="left" vertical="center"/>
    </xf>
    <xf numFmtId="0" fontId="12" fillId="11" borderId="97" xfId="4" applyFont="1" applyFill="1" applyBorder="1" applyAlignment="1">
      <alignment horizontal="left" vertical="center"/>
    </xf>
    <xf numFmtId="165" fontId="12" fillId="11" borderId="98" xfId="4" applyNumberFormat="1" applyFont="1" applyFill="1" applyBorder="1" applyAlignment="1">
      <alignment horizontal="left" vertical="center"/>
    </xf>
    <xf numFmtId="0" fontId="10" fillId="0" borderId="40" xfId="4" applyFill="1" applyBorder="1" applyAlignment="1">
      <alignment horizontal="left" vertical="center"/>
    </xf>
    <xf numFmtId="165" fontId="0" fillId="12" borderId="109" xfId="5" applyNumberFormat="1" applyFont="1" applyFill="1" applyBorder="1" applyAlignment="1">
      <alignment horizontal="left" vertical="center"/>
    </xf>
    <xf numFmtId="0" fontId="10" fillId="0" borderId="93" xfId="4" applyFill="1" applyBorder="1" applyAlignment="1">
      <alignment horizontal="left" vertical="center"/>
    </xf>
    <xf numFmtId="165" fontId="0" fillId="12" borderId="96" xfId="5" applyNumberFormat="1" applyFont="1" applyFill="1" applyBorder="1" applyAlignment="1">
      <alignment horizontal="left" vertical="center"/>
    </xf>
    <xf numFmtId="165" fontId="0" fillId="11" borderId="96" xfId="5" applyNumberFormat="1" applyFont="1" applyFill="1" applyBorder="1" applyAlignment="1">
      <alignment horizontal="left" vertical="center"/>
    </xf>
    <xf numFmtId="165" fontId="12" fillId="12" borderId="98" xfId="5" applyNumberFormat="1" applyFont="1" applyFill="1" applyBorder="1" applyAlignment="1">
      <alignment horizontal="left" vertical="center"/>
    </xf>
    <xf numFmtId="165" fontId="10" fillId="12" borderId="109" xfId="4" applyNumberFormat="1" applyFill="1" applyBorder="1" applyAlignment="1">
      <alignment horizontal="left" vertical="center"/>
    </xf>
    <xf numFmtId="0" fontId="12" fillId="0" borderId="31" xfId="4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/>
    </xf>
    <xf numFmtId="0" fontId="10" fillId="13" borderId="93" xfId="4" applyFill="1" applyBorder="1" applyAlignment="1">
      <alignment horizontal="left" vertical="center"/>
    </xf>
    <xf numFmtId="165" fontId="0" fillId="11" borderId="109" xfId="5" applyNumberFormat="1" applyFont="1" applyFill="1" applyBorder="1" applyAlignment="1">
      <alignment horizontal="left" vertical="center"/>
    </xf>
    <xf numFmtId="0" fontId="10" fillId="13" borderId="40" xfId="4" applyFill="1" applyBorder="1" applyAlignment="1">
      <alignment horizontal="left" vertical="center"/>
    </xf>
    <xf numFmtId="164" fontId="6" fillId="7" borderId="116" xfId="1" applyNumberFormat="1" applyFont="1" applyFill="1" applyBorder="1" applyAlignment="1">
      <alignment horizontal="center" vertical="center" wrapText="1"/>
    </xf>
    <xf numFmtId="164" fontId="6" fillId="7" borderId="117" xfId="1" applyNumberFormat="1" applyFont="1" applyFill="1" applyBorder="1" applyAlignment="1">
      <alignment horizontal="center" vertical="center" wrapText="1"/>
    </xf>
    <xf numFmtId="17" fontId="20" fillId="0" borderId="100" xfId="0" applyNumberFormat="1" applyFont="1" applyBorder="1" applyAlignment="1">
      <alignment horizontal="center" vertical="center" wrapText="1"/>
    </xf>
    <xf numFmtId="17" fontId="20" fillId="4" borderId="100" xfId="0" applyNumberFormat="1" applyFont="1" applyFill="1" applyBorder="1" applyAlignment="1">
      <alignment horizontal="center" vertical="center" wrapText="1"/>
    </xf>
    <xf numFmtId="0" fontId="4" fillId="13" borderId="105" xfId="1" applyFont="1" applyFill="1" applyBorder="1" applyAlignment="1">
      <alignment vertical="center"/>
    </xf>
    <xf numFmtId="0" fontId="4" fillId="13" borderId="107" xfId="1" applyFont="1" applyFill="1" applyBorder="1" applyAlignment="1">
      <alignment vertical="center"/>
    </xf>
    <xf numFmtId="0" fontId="4" fillId="13" borderId="108" xfId="1" applyFont="1" applyFill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4" fillId="0" borderId="108" xfId="1" applyFont="1" applyBorder="1" applyAlignment="1">
      <alignment vertical="center"/>
    </xf>
    <xf numFmtId="17" fontId="20" fillId="0" borderId="14" xfId="0" applyNumberFormat="1" applyFont="1" applyBorder="1" applyAlignment="1">
      <alignment horizontal="center" vertical="center" wrapText="1"/>
    </xf>
    <xf numFmtId="164" fontId="6" fillId="7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0" borderId="125" xfId="1" applyNumberFormat="1" applyFont="1" applyBorder="1" applyAlignment="1" applyProtection="1">
      <alignment horizontal="center" vertical="center" wrapText="1"/>
      <protection locked="0"/>
    </xf>
    <xf numFmtId="166" fontId="4" fillId="0" borderId="80" xfId="1" applyNumberFormat="1" applyFont="1" applyBorder="1" applyAlignment="1" applyProtection="1">
      <alignment horizontal="center" vertical="center" wrapText="1"/>
      <protection locked="0"/>
    </xf>
    <xf numFmtId="0" fontId="4" fillId="0" borderId="43" xfId="1" applyFont="1" applyBorder="1" applyAlignment="1">
      <alignment vertical="center"/>
    </xf>
    <xf numFmtId="3" fontId="4" fillId="2" borderId="43" xfId="1" applyNumberFormat="1" applyFont="1" applyFill="1" applyBorder="1" applyAlignment="1">
      <alignment horizontal="center" vertical="center" wrapText="1"/>
    </xf>
    <xf numFmtId="164" fontId="8" fillId="3" borderId="43" xfId="1" applyNumberFormat="1" applyFont="1" applyFill="1" applyBorder="1" applyAlignment="1">
      <alignment horizontal="center" vertical="center" wrapText="1"/>
    </xf>
    <xf numFmtId="164" fontId="6" fillId="3" borderId="125" xfId="1" applyNumberFormat="1" applyFont="1" applyFill="1" applyBorder="1" applyAlignment="1">
      <alignment horizontal="center" vertical="center" wrapText="1"/>
    </xf>
    <xf numFmtId="3" fontId="4" fillId="4" borderId="125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25" xfId="1" applyNumberFormat="1" applyFont="1" applyFill="1" applyBorder="1" applyAlignment="1">
      <alignment horizontal="center" vertical="center" wrapText="1"/>
    </xf>
    <xf numFmtId="0" fontId="4" fillId="0" borderId="125" xfId="1" applyFont="1" applyBorder="1" applyAlignment="1">
      <alignment vertical="center"/>
    </xf>
    <xf numFmtId="0" fontId="4" fillId="0" borderId="80" xfId="1" applyFont="1" applyFill="1" applyBorder="1" applyAlignment="1">
      <alignment vertical="center"/>
    </xf>
    <xf numFmtId="0" fontId="4" fillId="0" borderId="80" xfId="1" applyFont="1" applyBorder="1" applyAlignment="1">
      <alignment vertical="center"/>
    </xf>
    <xf numFmtId="0" fontId="4" fillId="0" borderId="127" xfId="1" applyFont="1" applyBorder="1" applyAlignment="1">
      <alignment vertical="center"/>
    </xf>
    <xf numFmtId="3" fontId="25" fillId="2" borderId="8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167" fontId="17" fillId="0" borderId="120" xfId="0" applyNumberFormat="1" applyFont="1" applyBorder="1" applyAlignment="1">
      <alignment horizontal="center" vertical="center"/>
    </xf>
    <xf numFmtId="3" fontId="0" fillId="0" borderId="120" xfId="0" applyNumberFormat="1" applyBorder="1" applyAlignment="1">
      <alignment horizontal="center" vertical="center"/>
    </xf>
    <xf numFmtId="167" fontId="17" fillId="0" borderId="121" xfId="0" applyNumberFormat="1" applyFont="1" applyBorder="1" applyAlignment="1">
      <alignment horizontal="center" vertical="center"/>
    </xf>
    <xf numFmtId="3" fontId="17" fillId="4" borderId="18" xfId="0" applyNumberFormat="1" applyFont="1" applyFill="1" applyBorder="1" applyAlignment="1">
      <alignment horizontal="center" vertical="center"/>
    </xf>
    <xf numFmtId="3" fontId="24" fillId="4" borderId="18" xfId="0" applyNumberFormat="1" applyFont="1" applyFill="1" applyBorder="1" applyAlignment="1">
      <alignment horizontal="center" vertical="center"/>
    </xf>
    <xf numFmtId="167" fontId="17" fillId="0" borderId="115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4" fillId="4" borderId="25" xfId="0" applyNumberFormat="1" applyFont="1" applyFill="1" applyBorder="1" applyAlignment="1">
      <alignment horizontal="center" vertical="center"/>
    </xf>
    <xf numFmtId="3" fontId="17" fillId="0" borderId="122" xfId="0" applyNumberFormat="1" applyFont="1" applyBorder="1" applyAlignment="1">
      <alignment horizontal="center" vertical="center"/>
    </xf>
    <xf numFmtId="167" fontId="17" fillId="0" borderId="100" xfId="0" applyNumberFormat="1" applyFont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167" fontId="17" fillId="0" borderId="104" xfId="0" applyNumberFormat="1" applyFont="1" applyBorder="1" applyAlignment="1">
      <alignment horizontal="center" vertical="center"/>
    </xf>
    <xf numFmtId="3" fontId="17" fillId="4" borderId="93" xfId="0" applyNumberFormat="1" applyFont="1" applyFill="1" applyBorder="1" applyAlignment="1">
      <alignment horizontal="center" vertical="center"/>
    </xf>
    <xf numFmtId="3" fontId="24" fillId="4" borderId="93" xfId="0" applyNumberFormat="1" applyFont="1" applyFill="1" applyBorder="1" applyAlignment="1">
      <alignment horizontal="center" vertical="center"/>
    </xf>
    <xf numFmtId="3" fontId="24" fillId="4" borderId="122" xfId="0" applyNumberFormat="1" applyFont="1" applyFill="1" applyBorder="1" applyAlignment="1">
      <alignment horizontal="center" vertical="center"/>
    </xf>
    <xf numFmtId="3" fontId="17" fillId="0" borderId="123" xfId="0" applyNumberFormat="1" applyFont="1" applyBorder="1" applyAlignment="1">
      <alignment horizontal="center" vertical="center"/>
    </xf>
    <xf numFmtId="167" fontId="17" fillId="0" borderId="118" xfId="0" applyNumberFormat="1" applyFont="1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167" fontId="17" fillId="0" borderId="124" xfId="0" applyNumberFormat="1" applyFont="1" applyBorder="1" applyAlignment="1">
      <alignment horizontal="center" vertical="center"/>
    </xf>
    <xf numFmtId="3" fontId="17" fillId="4" borderId="97" xfId="0" applyNumberFormat="1" applyFont="1" applyFill="1" applyBorder="1" applyAlignment="1">
      <alignment horizontal="center" vertical="center"/>
    </xf>
    <xf numFmtId="3" fontId="24" fillId="4" borderId="97" xfId="0" applyNumberFormat="1" applyFont="1" applyFill="1" applyBorder="1" applyAlignment="1">
      <alignment horizontal="center" vertical="center"/>
    </xf>
    <xf numFmtId="3" fontId="24" fillId="4" borderId="123" xfId="0" applyNumberFormat="1" applyFont="1" applyFill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167" fontId="17" fillId="0" borderId="29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167" fontId="17" fillId="0" borderId="30" xfId="0" applyNumberFormat="1" applyFont="1" applyBorder="1" applyAlignment="1">
      <alignment horizontal="center" vertical="center"/>
    </xf>
    <xf numFmtId="3" fontId="17" fillId="4" borderId="31" xfId="0" applyNumberFormat="1" applyFont="1" applyFill="1" applyBorder="1" applyAlignment="1">
      <alignment horizontal="center" vertical="center"/>
    </xf>
    <xf numFmtId="3" fontId="24" fillId="4" borderId="31" xfId="0" applyNumberFormat="1" applyFont="1" applyFill="1" applyBorder="1" applyAlignment="1">
      <alignment horizontal="center" vertical="center"/>
    </xf>
    <xf numFmtId="3" fontId="24" fillId="4" borderId="37" xfId="0" applyNumberFormat="1" applyFont="1" applyFill="1" applyBorder="1" applyAlignment="1">
      <alignment horizontal="center" vertical="center"/>
    </xf>
    <xf numFmtId="167" fontId="17" fillId="0" borderId="27" xfId="0" applyNumberFormat="1" applyFont="1" applyBorder="1" applyAlignment="1">
      <alignment horizontal="center" vertical="center"/>
    </xf>
    <xf numFmtId="167" fontId="17" fillId="0" borderId="9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167" fontId="17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4" borderId="19" xfId="0" applyNumberFormat="1" applyFont="1" applyFill="1" applyBorder="1" applyAlignment="1">
      <alignment horizontal="center" vertical="center"/>
    </xf>
    <xf numFmtId="3" fontId="24" fillId="4" borderId="19" xfId="0" applyNumberFormat="1" applyFont="1" applyFill="1" applyBorder="1" applyAlignment="1">
      <alignment horizontal="center" vertical="center"/>
    </xf>
    <xf numFmtId="3" fontId="24" fillId="4" borderId="2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4" borderId="128" xfId="0" applyFont="1" applyFill="1" applyBorder="1" applyAlignment="1">
      <alignment horizontal="left" vertical="center" wrapText="1"/>
    </xf>
    <xf numFmtId="3" fontId="0" fillId="0" borderId="128" xfId="0" applyNumberFormat="1" applyFont="1" applyBorder="1" applyAlignment="1">
      <alignment horizontal="center" vertical="center" wrapText="1"/>
    </xf>
    <xf numFmtId="164" fontId="8" fillId="3" borderId="128" xfId="1" applyNumberFormat="1" applyFont="1" applyFill="1" applyBorder="1" applyAlignment="1">
      <alignment horizontal="center" vertical="center" wrapText="1"/>
    </xf>
    <xf numFmtId="164" fontId="8" fillId="7" borderId="128" xfId="1" applyNumberFormat="1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center" vertical="center" wrapText="1"/>
    </xf>
    <xf numFmtId="164" fontId="6" fillId="7" borderId="16" xfId="1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3" fontId="17" fillId="4" borderId="128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17" fillId="4" borderId="11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0" fontId="10" fillId="0" borderId="40" xfId="4" applyFill="1" applyBorder="1" applyAlignment="1">
      <alignment horizontal="center" vertical="center"/>
    </xf>
    <xf numFmtId="17" fontId="20" fillId="9" borderId="10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8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3" fontId="4" fillId="0" borderId="59" xfId="1" applyNumberFormat="1" applyFont="1" applyBorder="1" applyAlignment="1" applyProtection="1">
      <alignment horizontal="center" vertical="center" wrapText="1"/>
      <protection locked="0"/>
    </xf>
    <xf numFmtId="166" fontId="4" fillId="0" borderId="59" xfId="1" applyNumberFormat="1" applyFont="1" applyBorder="1" applyAlignment="1" applyProtection="1">
      <alignment horizontal="center" vertical="center" wrapText="1"/>
      <protection locked="0"/>
    </xf>
    <xf numFmtId="168" fontId="4" fillId="0" borderId="59" xfId="24" applyNumberFormat="1" applyFont="1" applyBorder="1" applyAlignment="1" applyProtection="1">
      <alignment horizontal="center" vertical="center" wrapText="1"/>
      <protection locked="0"/>
    </xf>
    <xf numFmtId="166" fontId="4" fillId="0" borderId="71" xfId="1" applyNumberFormat="1" applyFont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164" fontId="6" fillId="7" borderId="4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3" fontId="4" fillId="0" borderId="41" xfId="1" applyNumberFormat="1" applyFont="1" applyBorder="1" applyAlignment="1" applyProtection="1">
      <alignment horizontal="center" vertical="center" wrapText="1"/>
      <protection locked="0"/>
    </xf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41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31" xfId="1" applyNumberFormat="1" applyFont="1" applyBorder="1" applyAlignment="1" applyProtection="1">
      <alignment horizontal="center" vertical="center" wrapText="1"/>
      <protection locked="0"/>
    </xf>
    <xf numFmtId="17" fontId="0" fillId="0" borderId="0" xfId="0" applyNumberFormat="1"/>
    <xf numFmtId="0" fontId="4" fillId="0" borderId="0" xfId="1" applyFont="1" applyBorder="1" applyAlignment="1">
      <alignment vertical="center"/>
    </xf>
    <xf numFmtId="0" fontId="4" fillId="0" borderId="132" xfId="1" applyFont="1" applyBorder="1" applyAlignment="1">
      <alignment vertical="center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164" fontId="6" fillId="7" borderId="135" xfId="1" applyNumberFormat="1" applyFont="1" applyFill="1" applyBorder="1" applyAlignment="1">
      <alignment horizontal="center" vertical="center" wrapText="1"/>
    </xf>
    <xf numFmtId="3" fontId="4" fillId="4" borderId="132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32" xfId="1" applyNumberFormat="1" applyFont="1" applyFill="1" applyBorder="1" applyAlignment="1">
      <alignment horizontal="center" vertical="center" wrapText="1"/>
    </xf>
    <xf numFmtId="3" fontId="3" fillId="2" borderId="132" xfId="1" applyNumberFormat="1" applyFont="1" applyFill="1" applyBorder="1" applyAlignment="1">
      <alignment horizontal="center" vertical="center" wrapText="1"/>
    </xf>
    <xf numFmtId="3" fontId="3" fillId="2" borderId="131" xfId="1" applyNumberFormat="1" applyFont="1" applyFill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center" wrapText="1"/>
    </xf>
    <xf numFmtId="164" fontId="6" fillId="7" borderId="132" xfId="1" applyNumberFormat="1" applyFont="1" applyFill="1" applyBorder="1" applyAlignment="1">
      <alignment horizontal="center" vertical="center" wrapText="1"/>
    </xf>
    <xf numFmtId="0" fontId="0" fillId="13" borderId="0" xfId="0" applyFill="1"/>
    <xf numFmtId="3" fontId="3" fillId="15" borderId="131" xfId="1" applyNumberFormat="1" applyFont="1" applyFill="1" applyBorder="1" applyAlignment="1">
      <alignment horizontal="center" vertical="center" wrapText="1"/>
    </xf>
    <xf numFmtId="0" fontId="4" fillId="13" borderId="80" xfId="1" applyFont="1" applyFill="1" applyBorder="1" applyAlignment="1">
      <alignment vertical="center"/>
    </xf>
    <xf numFmtId="0" fontId="4" fillId="0" borderId="137" xfId="1" applyFont="1" applyBorder="1" applyAlignment="1">
      <alignment vertical="center"/>
    </xf>
    <xf numFmtId="0" fontId="4" fillId="0" borderId="140" xfId="1" applyFont="1" applyBorder="1" applyAlignment="1">
      <alignment vertical="center"/>
    </xf>
    <xf numFmtId="0" fontId="4" fillId="0" borderId="141" xfId="1" applyFont="1" applyBorder="1" applyAlignment="1">
      <alignment vertical="center"/>
    </xf>
    <xf numFmtId="0" fontId="3" fillId="8" borderId="142" xfId="1" applyFont="1" applyFill="1" applyBorder="1" applyAlignment="1">
      <alignment horizontal="center" vertical="center"/>
    </xf>
    <xf numFmtId="0" fontId="3" fillId="10" borderId="142" xfId="1" applyFont="1" applyFill="1" applyBorder="1" applyAlignment="1">
      <alignment horizontal="center" vertical="center"/>
    </xf>
    <xf numFmtId="0" fontId="3" fillId="6" borderId="142" xfId="1" applyFont="1" applyFill="1" applyBorder="1" applyAlignment="1">
      <alignment horizontal="center" vertical="center"/>
    </xf>
    <xf numFmtId="0" fontId="4" fillId="0" borderId="143" xfId="1" applyFont="1" applyBorder="1" applyAlignment="1">
      <alignment vertical="center"/>
    </xf>
    <xf numFmtId="3" fontId="4" fillId="0" borderId="140" xfId="1" applyNumberFormat="1" applyFont="1" applyBorder="1" applyAlignment="1" applyProtection="1">
      <alignment horizontal="center" vertical="center" wrapText="1"/>
      <protection locked="0"/>
    </xf>
    <xf numFmtId="164" fontId="6" fillId="3" borderId="140" xfId="1" applyNumberFormat="1" applyFont="1" applyFill="1" applyBorder="1" applyAlignment="1">
      <alignment horizontal="center" vertical="center" wrapText="1"/>
    </xf>
    <xf numFmtId="3" fontId="4" fillId="4" borderId="140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40" xfId="1" applyNumberFormat="1" applyFont="1" applyFill="1" applyBorder="1" applyAlignment="1">
      <alignment horizontal="center" vertical="center" wrapText="1"/>
    </xf>
    <xf numFmtId="164" fontId="6" fillId="7" borderId="144" xfId="1" applyNumberFormat="1" applyFont="1" applyFill="1" applyBorder="1" applyAlignment="1">
      <alignment horizontal="center" vertical="center" wrapText="1"/>
    </xf>
    <xf numFmtId="3" fontId="4" fillId="4" borderId="120" xfId="1" applyNumberFormat="1" applyFont="1" applyFill="1" applyBorder="1" applyAlignment="1" applyProtection="1">
      <alignment horizontal="center" vertical="center" wrapText="1"/>
      <protection locked="0"/>
    </xf>
    <xf numFmtId="3" fontId="3" fillId="15" borderId="132" xfId="1" applyNumberFormat="1" applyFont="1" applyFill="1" applyBorder="1" applyAlignment="1">
      <alignment horizontal="center" vertical="center" wrapText="1"/>
    </xf>
    <xf numFmtId="0" fontId="0" fillId="0" borderId="132" xfId="0" applyBorder="1"/>
    <xf numFmtId="0" fontId="0" fillId="17" borderId="132" xfId="0" applyFill="1" applyBorder="1" applyAlignment="1">
      <alignment horizontal="center"/>
    </xf>
    <xf numFmtId="164" fontId="8" fillId="3" borderId="131" xfId="1" applyNumberFormat="1" applyFont="1" applyFill="1" applyBorder="1" applyAlignment="1">
      <alignment horizontal="center" vertical="center" wrapText="1"/>
    </xf>
    <xf numFmtId="164" fontId="8" fillId="3" borderId="132" xfId="1" applyNumberFormat="1" applyFont="1" applyFill="1" applyBorder="1" applyAlignment="1">
      <alignment horizontal="center" vertical="center" wrapText="1"/>
    </xf>
    <xf numFmtId="164" fontId="8" fillId="7" borderId="132" xfId="1" applyNumberFormat="1" applyFont="1" applyFill="1" applyBorder="1" applyAlignment="1">
      <alignment horizontal="center" vertical="center" wrapText="1"/>
    </xf>
    <xf numFmtId="0" fontId="3" fillId="15" borderId="142" xfId="1" applyFont="1" applyFill="1" applyBorder="1" applyAlignment="1">
      <alignment horizontal="center" vertical="center" wrapText="1"/>
    </xf>
    <xf numFmtId="3" fontId="3" fillId="15" borderId="140" xfId="1" applyNumberFormat="1" applyFont="1" applyFill="1" applyBorder="1" applyAlignment="1">
      <alignment horizontal="center" vertical="center" wrapText="1"/>
    </xf>
    <xf numFmtId="0" fontId="3" fillId="15" borderId="57" xfId="1" applyFont="1" applyFill="1" applyBorder="1" applyAlignment="1">
      <alignment horizontal="center" vertical="center" wrapText="1"/>
    </xf>
    <xf numFmtId="3" fontId="3" fillId="15" borderId="3" xfId="1" applyNumberFormat="1" applyFont="1" applyFill="1" applyBorder="1" applyAlignment="1">
      <alignment horizontal="center" vertical="center" wrapText="1"/>
    </xf>
    <xf numFmtId="3" fontId="3" fillId="15" borderId="58" xfId="1" applyNumberFormat="1" applyFont="1" applyFill="1" applyBorder="1" applyAlignment="1">
      <alignment horizontal="center" vertical="center" wrapText="1"/>
    </xf>
    <xf numFmtId="3" fontId="4" fillId="15" borderId="1" xfId="1" applyNumberFormat="1" applyFont="1" applyFill="1" applyBorder="1" applyAlignment="1">
      <alignment horizontal="center" vertical="center" wrapText="1"/>
    </xf>
    <xf numFmtId="3" fontId="4" fillId="15" borderId="43" xfId="1" applyNumberFormat="1" applyFont="1" applyFill="1" applyBorder="1" applyAlignment="1">
      <alignment horizontal="center" vertical="center" wrapText="1"/>
    </xf>
    <xf numFmtId="0" fontId="4" fillId="0" borderId="147" xfId="1" applyFont="1" applyBorder="1" applyAlignment="1">
      <alignment vertical="center"/>
    </xf>
    <xf numFmtId="0" fontId="4" fillId="13" borderId="148" xfId="1" applyFont="1" applyFill="1" applyBorder="1" applyAlignment="1">
      <alignment vertical="center"/>
    </xf>
    <xf numFmtId="3" fontId="4" fillId="0" borderId="149" xfId="1" applyNumberFormat="1" applyFont="1" applyBorder="1" applyAlignment="1" applyProtection="1">
      <alignment horizontal="center" vertical="center" wrapText="1"/>
      <protection locked="0"/>
    </xf>
    <xf numFmtId="3" fontId="4" fillId="0" borderId="150" xfId="1" applyNumberFormat="1" applyFont="1" applyBorder="1" applyAlignment="1" applyProtection="1">
      <alignment horizontal="center" vertical="center" wrapText="1"/>
      <protection locked="0"/>
    </xf>
    <xf numFmtId="0" fontId="3" fillId="6" borderId="139" xfId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0" fontId="4" fillId="0" borderId="153" xfId="1" applyFont="1" applyBorder="1" applyAlignment="1">
      <alignment vertical="center"/>
    </xf>
    <xf numFmtId="3" fontId="4" fillId="0" borderId="153" xfId="1" applyNumberFormat="1" applyFont="1" applyBorder="1" applyAlignment="1" applyProtection="1">
      <alignment horizontal="center" vertical="center" wrapText="1"/>
      <protection locked="0"/>
    </xf>
    <xf numFmtId="164" fontId="8" fillId="3" borderId="153" xfId="1" applyNumberFormat="1" applyFont="1" applyFill="1" applyBorder="1" applyAlignment="1">
      <alignment horizontal="center" vertical="center" wrapText="1"/>
    </xf>
    <xf numFmtId="3" fontId="4" fillId="4" borderId="153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3" xfId="1" applyNumberFormat="1" applyFont="1" applyFill="1" applyBorder="1" applyAlignment="1">
      <alignment horizontal="center" vertical="center" wrapText="1"/>
    </xf>
    <xf numFmtId="0" fontId="4" fillId="0" borderId="154" xfId="1" applyFont="1" applyBorder="1" applyAlignment="1">
      <alignment vertical="center"/>
    </xf>
    <xf numFmtId="3" fontId="4" fillId="0" borderId="154" xfId="1" applyNumberFormat="1" applyFont="1" applyBorder="1" applyAlignment="1" applyProtection="1">
      <alignment horizontal="center" vertical="center" wrapText="1"/>
      <protection locked="0"/>
    </xf>
    <xf numFmtId="164" fontId="8" fillId="3" borderId="154" xfId="1" applyNumberFormat="1" applyFont="1" applyFill="1" applyBorder="1" applyAlignment="1">
      <alignment horizontal="center" vertical="center" wrapText="1"/>
    </xf>
    <xf numFmtId="3" fontId="4" fillId="4" borderId="154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4" xfId="1" applyNumberFormat="1" applyFont="1" applyFill="1" applyBorder="1" applyAlignment="1">
      <alignment horizontal="center" vertical="center" wrapText="1"/>
    </xf>
    <xf numFmtId="0" fontId="4" fillId="0" borderId="155" xfId="1" applyFont="1" applyBorder="1" applyAlignment="1">
      <alignment vertical="center"/>
    </xf>
    <xf numFmtId="3" fontId="4" fillId="0" borderId="155" xfId="1" applyNumberFormat="1" applyFont="1" applyBorder="1" applyAlignment="1" applyProtection="1">
      <alignment horizontal="center" vertical="center" wrapText="1"/>
      <protection locked="0"/>
    </xf>
    <xf numFmtId="164" fontId="8" fillId="3" borderId="155" xfId="1" applyNumberFormat="1" applyFont="1" applyFill="1" applyBorder="1" applyAlignment="1">
      <alignment horizontal="center" vertical="center" wrapText="1"/>
    </xf>
    <xf numFmtId="164" fontId="8" fillId="7" borderId="155" xfId="1" applyNumberFormat="1" applyFont="1" applyFill="1" applyBorder="1" applyAlignment="1">
      <alignment horizontal="center" vertical="center" wrapText="1"/>
    </xf>
    <xf numFmtId="3" fontId="3" fillId="15" borderId="38" xfId="1" applyNumberFormat="1" applyFont="1" applyFill="1" applyBorder="1" applyAlignment="1">
      <alignment horizontal="center" vertical="center" wrapText="1"/>
    </xf>
    <xf numFmtId="164" fontId="6" fillId="3" borderId="156" xfId="1" applyNumberFormat="1" applyFont="1" applyFill="1" applyBorder="1" applyAlignment="1">
      <alignment horizontal="center" vertical="center" wrapText="1"/>
    </xf>
    <xf numFmtId="3" fontId="4" fillId="4" borderId="157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58" xfId="1" applyNumberFormat="1" applyFont="1" applyFill="1" applyBorder="1" applyAlignment="1">
      <alignment horizontal="center" vertical="center" wrapText="1"/>
    </xf>
    <xf numFmtId="0" fontId="4" fillId="0" borderId="159" xfId="1" applyFont="1" applyBorder="1" applyAlignment="1">
      <alignment vertical="center"/>
    </xf>
    <xf numFmtId="3" fontId="4" fillId="2" borderId="159" xfId="1" applyNumberFormat="1" applyFont="1" applyFill="1" applyBorder="1" applyAlignment="1">
      <alignment horizontal="center" vertical="center" wrapText="1"/>
    </xf>
    <xf numFmtId="3" fontId="4" fillId="0" borderId="159" xfId="1" applyNumberFormat="1" applyFont="1" applyBorder="1" applyAlignment="1" applyProtection="1">
      <alignment horizontal="center" vertical="center" wrapText="1"/>
      <protection locked="0"/>
    </xf>
    <xf numFmtId="3" fontId="4" fillId="4" borderId="159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9" xfId="1" applyNumberFormat="1" applyFont="1" applyFill="1" applyBorder="1" applyAlignment="1">
      <alignment horizontal="center" vertical="center" wrapText="1"/>
    </xf>
    <xf numFmtId="164" fontId="8" fillId="3" borderId="159" xfId="1" applyNumberFormat="1" applyFont="1" applyFill="1" applyBorder="1" applyAlignment="1">
      <alignment horizontal="center" vertical="center" wrapText="1"/>
    </xf>
    <xf numFmtId="164" fontId="6" fillId="3" borderId="151" xfId="1" applyNumberFormat="1" applyFont="1" applyFill="1" applyBorder="1" applyAlignment="1">
      <alignment horizontal="center" vertical="center" wrapText="1"/>
    </xf>
    <xf numFmtId="164" fontId="6" fillId="7" borderId="112" xfId="1" applyNumberFormat="1" applyFont="1" applyFill="1" applyBorder="1" applyAlignment="1">
      <alignment horizontal="center" vertical="center" wrapText="1"/>
    </xf>
    <xf numFmtId="164" fontId="6" fillId="16" borderId="38" xfId="1" applyNumberFormat="1" applyFont="1" applyFill="1" applyBorder="1" applyAlignment="1">
      <alignment horizontal="center" vertical="center" wrapText="1"/>
    </xf>
    <xf numFmtId="164" fontId="6" fillId="16" borderId="156" xfId="1" applyNumberFormat="1" applyFont="1" applyFill="1" applyBorder="1" applyAlignment="1">
      <alignment horizontal="center" vertical="center" wrapText="1"/>
    </xf>
    <xf numFmtId="0" fontId="4" fillId="0" borderId="160" xfId="1" applyFont="1" applyBorder="1" applyAlignment="1">
      <alignment vertical="center"/>
    </xf>
    <xf numFmtId="164" fontId="6" fillId="3" borderId="131" xfId="1" applyNumberFormat="1" applyFont="1" applyFill="1" applyBorder="1" applyAlignment="1">
      <alignment horizontal="center" vertical="center" wrapText="1"/>
    </xf>
    <xf numFmtId="0" fontId="4" fillId="0" borderId="120" xfId="1" applyFont="1" applyBorder="1" applyAlignment="1">
      <alignment vertical="center"/>
    </xf>
    <xf numFmtId="3" fontId="3" fillId="2" borderId="120" xfId="1" applyNumberFormat="1" applyFont="1" applyFill="1" applyBorder="1" applyAlignment="1">
      <alignment horizontal="center" vertical="center" wrapText="1"/>
    </xf>
    <xf numFmtId="3" fontId="4" fillId="0" borderId="120" xfId="1" applyNumberFormat="1" applyFont="1" applyBorder="1" applyAlignment="1" applyProtection="1">
      <alignment horizontal="center" vertical="center" wrapText="1"/>
      <protection locked="0"/>
    </xf>
    <xf numFmtId="164" fontId="6" fillId="3" borderId="120" xfId="1" applyNumberFormat="1" applyFont="1" applyFill="1" applyBorder="1" applyAlignment="1">
      <alignment horizontal="center" vertical="center" wrapText="1"/>
    </xf>
    <xf numFmtId="164" fontId="6" fillId="3" borderId="152" xfId="1" applyNumberFormat="1" applyFont="1" applyFill="1" applyBorder="1" applyAlignment="1">
      <alignment horizontal="center" vertical="center" wrapText="1"/>
    </xf>
    <xf numFmtId="3" fontId="3" fillId="2" borderId="90" xfId="1" applyNumberFormat="1" applyFont="1" applyFill="1" applyBorder="1" applyAlignment="1">
      <alignment horizontal="center" vertical="center" wrapText="1"/>
    </xf>
    <xf numFmtId="0" fontId="17" fillId="0" borderId="0" xfId="0" applyFont="1"/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53" xfId="1" applyNumberFormat="1" applyFont="1" applyFill="1" applyBorder="1" applyAlignment="1">
      <alignment horizontal="center" vertical="center" wrapText="1"/>
    </xf>
    <xf numFmtId="3" fontId="3" fillId="2" borderId="154" xfId="1" applyNumberFormat="1" applyFont="1" applyFill="1" applyBorder="1" applyAlignment="1">
      <alignment horizontal="center" vertical="center" wrapText="1"/>
    </xf>
    <xf numFmtId="3" fontId="3" fillId="2" borderId="155" xfId="1" applyNumberFormat="1" applyFont="1" applyFill="1" applyBorder="1" applyAlignment="1">
      <alignment horizontal="center" vertical="center" wrapText="1"/>
    </xf>
    <xf numFmtId="3" fontId="3" fillId="2" borderId="140" xfId="1" applyNumberFormat="1" applyFont="1" applyFill="1" applyBorder="1" applyAlignment="1">
      <alignment horizontal="center" vertical="center" wrapText="1"/>
    </xf>
    <xf numFmtId="164" fontId="6" fillId="7" borderId="161" xfId="1" applyNumberFormat="1" applyFont="1" applyFill="1" applyBorder="1" applyAlignment="1">
      <alignment horizontal="center" vertical="center" wrapText="1"/>
    </xf>
    <xf numFmtId="164" fontId="8" fillId="7" borderId="38" xfId="1" applyNumberFormat="1" applyFont="1" applyFill="1" applyBorder="1" applyAlignment="1">
      <alignment horizontal="center" vertical="center" wrapText="1"/>
    </xf>
    <xf numFmtId="164" fontId="8" fillId="7" borderId="161" xfId="1" applyNumberFormat="1" applyFont="1" applyFill="1" applyBorder="1" applyAlignment="1">
      <alignment horizontal="center" vertical="center" wrapText="1"/>
    </xf>
    <xf numFmtId="0" fontId="4" fillId="0" borderId="162" xfId="1" applyFont="1" applyBorder="1" applyAlignment="1">
      <alignment vertical="center"/>
    </xf>
    <xf numFmtId="164" fontId="8" fillId="3" borderId="140" xfId="1" applyNumberFormat="1" applyFont="1" applyFill="1" applyBorder="1" applyAlignment="1">
      <alignment horizontal="center" vertical="center" wrapText="1"/>
    </xf>
    <xf numFmtId="3" fontId="3" fillId="0" borderId="157" xfId="1" applyNumberFormat="1" applyFont="1" applyBorder="1" applyAlignment="1">
      <alignment horizontal="center" wrapText="1"/>
    </xf>
    <xf numFmtId="164" fontId="8" fillId="7" borderId="163" xfId="1" applyNumberFormat="1" applyFont="1" applyFill="1" applyBorder="1" applyAlignment="1">
      <alignment horizontal="center" vertical="center" wrapText="1"/>
    </xf>
    <xf numFmtId="3" fontId="4" fillId="15" borderId="159" xfId="1" applyNumberFormat="1" applyFont="1" applyFill="1" applyBorder="1" applyAlignment="1">
      <alignment horizontal="center" vertical="center" wrapText="1"/>
    </xf>
    <xf numFmtId="3" fontId="4" fillId="15" borderId="140" xfId="1" applyNumberFormat="1" applyFont="1" applyFill="1" applyBorder="1" applyAlignment="1">
      <alignment horizontal="center" vertical="center" wrapText="1"/>
    </xf>
    <xf numFmtId="164" fontId="8" fillId="7" borderId="140" xfId="1" applyNumberFormat="1" applyFont="1" applyFill="1" applyBorder="1" applyAlignment="1">
      <alignment horizontal="center" vertical="center" wrapText="1"/>
    </xf>
    <xf numFmtId="164" fontId="8" fillId="7" borderId="156" xfId="1" applyNumberFormat="1" applyFont="1" applyFill="1" applyBorder="1" applyAlignment="1">
      <alignment horizontal="center" vertical="center" wrapText="1"/>
    </xf>
    <xf numFmtId="164" fontId="6" fillId="3" borderId="157" xfId="1" applyNumberFormat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horizontal="left" vertical="center"/>
    </xf>
    <xf numFmtId="164" fontId="6" fillId="3" borderId="126" xfId="1" applyNumberFormat="1" applyFont="1" applyFill="1" applyBorder="1" applyAlignment="1">
      <alignment vertical="center" wrapText="1"/>
    </xf>
    <xf numFmtId="164" fontId="6" fillId="3" borderId="164" xfId="1" applyNumberFormat="1" applyFont="1" applyFill="1" applyBorder="1" applyAlignment="1">
      <alignment vertical="center" wrapText="1"/>
    </xf>
    <xf numFmtId="164" fontId="6" fillId="3" borderId="165" xfId="1" applyNumberFormat="1" applyFont="1" applyFill="1" applyBorder="1" applyAlignment="1">
      <alignment vertical="center" wrapText="1"/>
    </xf>
    <xf numFmtId="0" fontId="3" fillId="6" borderId="159" xfId="1" applyFont="1" applyFill="1" applyBorder="1" applyAlignment="1">
      <alignment horizontal="center" vertical="center"/>
    </xf>
    <xf numFmtId="0" fontId="4" fillId="13" borderId="131" xfId="1" applyFont="1" applyFill="1" applyBorder="1" applyAlignment="1">
      <alignment vertical="center"/>
    </xf>
    <xf numFmtId="164" fontId="4" fillId="4" borderId="132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166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66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95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95" xfId="25" applyNumberFormat="1" applyFont="1" applyFill="1" applyBorder="1" applyAlignment="1" applyProtection="1">
      <alignment horizontal="center" vertical="center" wrapText="1"/>
      <protection locked="0"/>
    </xf>
    <xf numFmtId="3" fontId="4" fillId="2" borderId="132" xfId="1" applyNumberFormat="1" applyFont="1" applyFill="1" applyBorder="1" applyAlignment="1">
      <alignment horizontal="center" vertical="center" wrapText="1"/>
    </xf>
    <xf numFmtId="164" fontId="8" fillId="9" borderId="132" xfId="1" applyNumberFormat="1" applyFont="1" applyFill="1" applyBorder="1" applyAlignment="1">
      <alignment horizontal="center" vertical="center" wrapText="1"/>
    </xf>
    <xf numFmtId="3" fontId="4" fillId="2" borderId="140" xfId="1" applyNumberFormat="1" applyFont="1" applyFill="1" applyBorder="1" applyAlignment="1">
      <alignment horizontal="center" vertical="center" wrapText="1"/>
    </xf>
    <xf numFmtId="164" fontId="8" fillId="9" borderId="140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 applyProtection="1">
      <alignment horizontal="center" vertical="center" wrapText="1"/>
      <protection locked="0"/>
    </xf>
    <xf numFmtId="0" fontId="3" fillId="8" borderId="138" xfId="1" applyFont="1" applyFill="1" applyBorder="1" applyAlignment="1">
      <alignment horizontal="center" vertical="center"/>
    </xf>
    <xf numFmtId="0" fontId="3" fillId="2" borderId="142" xfId="1" applyFont="1" applyFill="1" applyBorder="1" applyAlignment="1">
      <alignment horizontal="center" vertical="center" wrapText="1"/>
    </xf>
    <xf numFmtId="3" fontId="3" fillId="15" borderId="118" xfId="1" applyNumberFormat="1" applyFont="1" applyFill="1" applyBorder="1" applyAlignment="1">
      <alignment horizontal="center" vertical="center" wrapText="1"/>
    </xf>
    <xf numFmtId="164" fontId="6" fillId="3" borderId="118" xfId="1" applyNumberFormat="1" applyFont="1" applyFill="1" applyBorder="1" applyAlignment="1">
      <alignment horizontal="center" vertical="center" wrapText="1"/>
    </xf>
    <xf numFmtId="164" fontId="6" fillId="7" borderId="118" xfId="1" applyNumberFormat="1" applyFont="1" applyFill="1" applyBorder="1" applyAlignment="1">
      <alignment horizontal="center" vertical="center" wrapText="1"/>
    </xf>
    <xf numFmtId="0" fontId="4" fillId="0" borderId="167" xfId="1" applyFont="1" applyBorder="1" applyAlignment="1">
      <alignment vertical="center"/>
    </xf>
    <xf numFmtId="0" fontId="4" fillId="0" borderId="168" xfId="1" applyFont="1" applyBorder="1" applyAlignment="1">
      <alignment vertical="center"/>
    </xf>
    <xf numFmtId="0" fontId="3" fillId="18" borderId="36" xfId="1" applyFont="1" applyFill="1" applyBorder="1" applyAlignment="1">
      <alignment vertical="center"/>
    </xf>
    <xf numFmtId="0" fontId="3" fillId="18" borderId="22" xfId="1" applyFont="1" applyFill="1" applyBorder="1" applyAlignment="1">
      <alignment vertical="center"/>
    </xf>
    <xf numFmtId="167" fontId="24" fillId="0" borderId="121" xfId="0" applyNumberFormat="1" applyFont="1" applyBorder="1" applyAlignment="1">
      <alignment horizontal="center" vertical="center"/>
    </xf>
    <xf numFmtId="167" fontId="24" fillId="0" borderId="104" xfId="0" applyNumberFormat="1" applyFont="1" applyBorder="1" applyAlignment="1">
      <alignment horizontal="center" vertical="center"/>
    </xf>
    <xf numFmtId="167" fontId="24" fillId="0" borderId="124" xfId="0" applyNumberFormat="1" applyFont="1" applyBorder="1" applyAlignment="1">
      <alignment horizontal="center" vertical="center"/>
    </xf>
    <xf numFmtId="167" fontId="24" fillId="0" borderId="30" xfId="0" applyNumberFormat="1" applyFont="1" applyBorder="1" applyAlignment="1">
      <alignment horizontal="center" vertical="center"/>
    </xf>
    <xf numFmtId="3" fontId="28" fillId="13" borderId="12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0" xfId="0" applyFont="1" applyBorder="1" applyAlignment="1">
      <alignment vertical="center" wrapText="1"/>
    </xf>
    <xf numFmtId="0" fontId="20" fillId="0" borderId="120" xfId="0" applyFont="1" applyBorder="1" applyAlignment="1">
      <alignment vertical="center" wrapText="1"/>
    </xf>
    <xf numFmtId="164" fontId="8" fillId="3" borderId="169" xfId="1" applyNumberFormat="1" applyFont="1" applyFill="1" applyBorder="1" applyAlignment="1">
      <alignment horizontal="center" vertical="center" wrapText="1"/>
    </xf>
    <xf numFmtId="3" fontId="4" fillId="0" borderId="169" xfId="1" applyNumberFormat="1" applyFont="1" applyBorder="1" applyAlignment="1" applyProtection="1">
      <alignment horizontal="center" vertical="center" wrapText="1"/>
      <protection locked="0"/>
    </xf>
    <xf numFmtId="164" fontId="6" fillId="7" borderId="96" xfId="1" applyNumberFormat="1" applyFont="1" applyFill="1" applyBorder="1" applyAlignment="1">
      <alignment horizontal="center" vertical="center" wrapText="1"/>
    </xf>
    <xf numFmtId="164" fontId="6" fillId="7" borderId="170" xfId="1" applyNumberFormat="1" applyFont="1" applyFill="1" applyBorder="1" applyAlignment="1">
      <alignment horizontal="center" vertical="center" wrapText="1"/>
    </xf>
    <xf numFmtId="3" fontId="4" fillId="4" borderId="118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71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71" xfId="1" applyNumberFormat="1" applyFont="1" applyFill="1" applyBorder="1" applyAlignment="1">
      <alignment horizontal="center" vertical="center" wrapText="1"/>
    </xf>
    <xf numFmtId="4" fontId="0" fillId="0" borderId="132" xfId="0" applyNumberFormat="1" applyBorder="1"/>
    <xf numFmtId="4" fontId="18" fillId="0" borderId="132" xfId="0" applyNumberFormat="1" applyFont="1" applyBorder="1"/>
    <xf numFmtId="0" fontId="4" fillId="0" borderId="132" xfId="1" applyFont="1" applyBorder="1" applyAlignment="1">
      <alignment vertical="center" wrapText="1"/>
    </xf>
    <xf numFmtId="0" fontId="3" fillId="8" borderId="132" xfId="1" applyFont="1" applyFill="1" applyBorder="1" applyAlignment="1">
      <alignment horizontal="center" vertical="center"/>
    </xf>
    <xf numFmtId="0" fontId="3" fillId="2" borderId="132" xfId="1" applyFont="1" applyFill="1" applyBorder="1" applyAlignment="1">
      <alignment horizontal="center" vertical="center" wrapText="1"/>
    </xf>
    <xf numFmtId="0" fontId="3" fillId="10" borderId="132" xfId="1" applyFont="1" applyFill="1" applyBorder="1" applyAlignment="1">
      <alignment horizontal="center" vertical="center"/>
    </xf>
    <xf numFmtId="0" fontId="3" fillId="6" borderId="132" xfId="1" applyFont="1" applyFill="1" applyBorder="1" applyAlignment="1">
      <alignment horizontal="center" vertical="center"/>
    </xf>
    <xf numFmtId="3" fontId="4" fillId="13" borderId="13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2" xfId="1" applyFont="1" applyBorder="1"/>
    <xf numFmtId="3" fontId="3" fillId="0" borderId="132" xfId="1" applyNumberFormat="1" applyFont="1" applyBorder="1" applyAlignment="1">
      <alignment horizontal="center" wrapText="1"/>
    </xf>
    <xf numFmtId="3" fontId="3" fillId="4" borderId="132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32" xfId="1" applyFont="1" applyFill="1" applyBorder="1" applyAlignment="1">
      <alignment vertical="center" wrapText="1"/>
    </xf>
    <xf numFmtId="164" fontId="6" fillId="16" borderId="132" xfId="1" applyNumberFormat="1" applyFont="1" applyFill="1" applyBorder="1" applyAlignment="1">
      <alignment horizontal="center" vertical="center" wrapText="1"/>
    </xf>
    <xf numFmtId="0" fontId="3" fillId="0" borderId="172" xfId="1" applyFont="1" applyBorder="1"/>
    <xf numFmtId="3" fontId="3" fillId="2" borderId="157" xfId="1" applyNumberFormat="1" applyFont="1" applyFill="1" applyBorder="1" applyAlignment="1">
      <alignment horizontal="center" vertical="center" wrapText="1"/>
    </xf>
    <xf numFmtId="164" fontId="6" fillId="7" borderId="157" xfId="1" applyNumberFormat="1" applyFont="1" applyFill="1" applyBorder="1" applyAlignment="1">
      <alignment horizontal="center" vertical="center" wrapText="1"/>
    </xf>
    <xf numFmtId="164" fontId="6" fillId="7" borderId="163" xfId="1" applyNumberFormat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/>
    </xf>
    <xf numFmtId="0" fontId="3" fillId="10" borderId="1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3" fillId="15" borderId="132" xfId="1" applyFont="1" applyFill="1" applyBorder="1" applyAlignment="1">
      <alignment horizontal="center" vertical="center" wrapText="1"/>
    </xf>
    <xf numFmtId="3" fontId="3" fillId="4" borderId="132" xfId="1" applyNumberFormat="1" applyFont="1" applyFill="1" applyBorder="1" applyAlignment="1">
      <alignment horizont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3" fillId="8" borderId="132" xfId="1" applyFont="1" applyFill="1" applyBorder="1" applyAlignment="1" applyProtection="1">
      <alignment horizontal="center" vertical="center" wrapText="1"/>
    </xf>
    <xf numFmtId="0" fontId="3" fillId="2" borderId="132" xfId="1" applyFont="1" applyFill="1" applyBorder="1" applyAlignment="1" applyProtection="1">
      <alignment horizontal="center" vertical="center" wrapText="1"/>
    </xf>
    <xf numFmtId="0" fontId="3" fillId="10" borderId="132" xfId="1" applyFont="1" applyFill="1" applyBorder="1" applyAlignment="1" applyProtection="1">
      <alignment horizontal="center" vertical="center" wrapText="1"/>
    </xf>
    <xf numFmtId="0" fontId="3" fillId="6" borderId="132" xfId="1" applyFont="1" applyFill="1" applyBorder="1" applyAlignment="1" applyProtection="1">
      <alignment horizontal="center" vertical="center" wrapText="1"/>
    </xf>
    <xf numFmtId="0" fontId="4" fillId="0" borderId="132" xfId="1" applyFont="1" applyBorder="1" applyAlignment="1" applyProtection="1">
      <alignment vertical="center" wrapText="1"/>
    </xf>
    <xf numFmtId="3" fontId="3" fillId="2" borderId="132" xfId="1" applyNumberFormat="1" applyFont="1" applyFill="1" applyBorder="1" applyAlignment="1" applyProtection="1">
      <alignment horizontal="center" vertical="center" wrapText="1"/>
    </xf>
    <xf numFmtId="3" fontId="4" fillId="0" borderId="132" xfId="1" applyNumberFormat="1" applyFont="1" applyBorder="1" applyAlignment="1" applyProtection="1">
      <alignment horizontal="center" vertical="center" wrapText="1"/>
    </xf>
    <xf numFmtId="164" fontId="6" fillId="3" borderId="132" xfId="1" applyNumberFormat="1" applyFont="1" applyFill="1" applyBorder="1" applyAlignment="1" applyProtection="1">
      <alignment horizontal="center" vertical="center" wrapText="1"/>
    </xf>
    <xf numFmtId="3" fontId="4" fillId="4" borderId="132" xfId="1" applyNumberFormat="1" applyFont="1" applyFill="1" applyBorder="1" applyAlignment="1" applyProtection="1">
      <alignment horizontal="center" vertical="center" wrapText="1"/>
    </xf>
    <xf numFmtId="164" fontId="6" fillId="7" borderId="132" xfId="1" applyNumberFormat="1" applyFont="1" applyFill="1" applyBorder="1" applyAlignment="1" applyProtection="1">
      <alignment horizontal="center" vertical="center" wrapText="1"/>
    </xf>
    <xf numFmtId="0" fontId="4" fillId="13" borderId="132" xfId="1" applyFont="1" applyFill="1" applyBorder="1" applyAlignment="1" applyProtection="1">
      <alignment vertical="center" wrapText="1"/>
    </xf>
    <xf numFmtId="3" fontId="3" fillId="15" borderId="132" xfId="1" applyNumberFormat="1" applyFont="1" applyFill="1" applyBorder="1" applyAlignment="1" applyProtection="1">
      <alignment horizontal="center" vertical="center" wrapText="1"/>
    </xf>
    <xf numFmtId="3" fontId="4" fillId="13" borderId="132" xfId="1" applyNumberFormat="1" applyFont="1" applyFill="1" applyBorder="1" applyAlignment="1" applyProtection="1">
      <alignment horizontal="center" vertical="center" wrapText="1"/>
    </xf>
    <xf numFmtId="164" fontId="6" fillId="16" borderId="132" xfId="1" applyNumberFormat="1" applyFont="1" applyFill="1" applyBorder="1" applyAlignment="1" applyProtection="1">
      <alignment horizontal="center" vertical="center" wrapText="1"/>
    </xf>
    <xf numFmtId="0" fontId="3" fillId="0" borderId="132" xfId="1" applyFont="1" applyBorder="1" applyAlignment="1" applyProtection="1">
      <alignment wrapText="1"/>
    </xf>
    <xf numFmtId="3" fontId="3" fillId="0" borderId="132" xfId="1" applyNumberFormat="1" applyFont="1" applyBorder="1" applyAlignment="1" applyProtection="1">
      <alignment horizontal="center" wrapText="1"/>
    </xf>
    <xf numFmtId="3" fontId="3" fillId="4" borderId="132" xfId="1" applyNumberFormat="1" applyFont="1" applyFill="1" applyBorder="1" applyAlignment="1" applyProtection="1">
      <alignment horizontal="center" vertical="center" wrapText="1"/>
    </xf>
    <xf numFmtId="0" fontId="3" fillId="8" borderId="132" xfId="1" applyFont="1" applyFill="1" applyBorder="1" applyAlignment="1" applyProtection="1">
      <alignment horizontal="center" vertical="center"/>
    </xf>
    <xf numFmtId="0" fontId="3" fillId="10" borderId="132" xfId="1" applyFont="1" applyFill="1" applyBorder="1" applyAlignment="1" applyProtection="1">
      <alignment horizontal="center" vertical="center"/>
    </xf>
    <xf numFmtId="0" fontId="3" fillId="6" borderId="132" xfId="1" applyFont="1" applyFill="1" applyBorder="1" applyAlignment="1" applyProtection="1">
      <alignment horizontal="center" vertical="center"/>
    </xf>
    <xf numFmtId="0" fontId="4" fillId="0" borderId="132" xfId="1" applyFont="1" applyBorder="1" applyAlignment="1" applyProtection="1">
      <alignment vertical="center"/>
    </xf>
    <xf numFmtId="0" fontId="3" fillId="0" borderId="132" xfId="1" applyFont="1" applyBorder="1" applyProtection="1"/>
    <xf numFmtId="0" fontId="3" fillId="8" borderId="91" xfId="1" applyFont="1" applyFill="1" applyBorder="1" applyAlignment="1" applyProtection="1">
      <alignment horizontal="center" vertical="center"/>
    </xf>
    <xf numFmtId="0" fontId="4" fillId="0" borderId="39" xfId="1" applyFont="1" applyBorder="1" applyAlignment="1" applyProtection="1">
      <alignment vertical="center"/>
    </xf>
    <xf numFmtId="3" fontId="3" fillId="2" borderId="3" xfId="1" applyNumberFormat="1" applyFont="1" applyFill="1" applyBorder="1" applyAlignment="1" applyProtection="1">
      <alignment horizontal="center" vertical="center" wrapText="1"/>
    </xf>
    <xf numFmtId="3" fontId="4" fillId="0" borderId="3" xfId="1" applyNumberFormat="1" applyFont="1" applyBorder="1" applyAlignment="1" applyProtection="1">
      <alignment horizontal="center" vertical="center" wrapText="1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3" fontId="4" fillId="0" borderId="125" xfId="1" applyNumberFormat="1" applyFont="1" applyBorder="1" applyAlignment="1" applyProtection="1">
      <alignment horizontal="center" vertical="center" wrapText="1"/>
    </xf>
    <xf numFmtId="164" fontId="8" fillId="9" borderId="3" xfId="1" applyNumberFormat="1" applyFont="1" applyFill="1" applyBorder="1" applyAlignment="1" applyProtection="1">
      <alignment horizontal="center" vertic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</xf>
    <xf numFmtId="164" fontId="8" fillId="7" borderId="3" xfId="1" applyNumberFormat="1" applyFont="1" applyFill="1" applyBorder="1" applyAlignment="1" applyProtection="1">
      <alignment horizontal="center" vertical="center" wrapText="1"/>
    </xf>
    <xf numFmtId="0" fontId="4" fillId="0" borderId="89" xfId="1" applyFont="1" applyBorder="1" applyAlignment="1" applyProtection="1">
      <alignment vertical="center"/>
    </xf>
    <xf numFmtId="3" fontId="3" fillId="2" borderId="90" xfId="1" applyNumberFormat="1" applyFont="1" applyFill="1" applyBorder="1" applyAlignment="1" applyProtection="1">
      <alignment horizontal="center" vertical="center" wrapText="1"/>
    </xf>
    <xf numFmtId="3" fontId="4" fillId="0" borderId="90" xfId="1" applyNumberFormat="1" applyFont="1" applyBorder="1" applyAlignment="1" applyProtection="1">
      <alignment horizontal="center" vertical="center" wrapText="1"/>
    </xf>
    <xf numFmtId="3" fontId="4" fillId="0" borderId="59" xfId="1" applyNumberFormat="1" applyFont="1" applyBorder="1" applyAlignment="1" applyProtection="1">
      <alignment horizontal="center" vertical="center" wrapText="1"/>
    </xf>
    <xf numFmtId="0" fontId="3" fillId="0" borderId="34" xfId="1" applyFont="1" applyBorder="1" applyProtection="1"/>
    <xf numFmtId="3" fontId="3" fillId="2" borderId="38" xfId="1" applyNumberFormat="1" applyFont="1" applyFill="1" applyBorder="1" applyAlignment="1" applyProtection="1">
      <alignment horizontal="center" vertical="center" wrapText="1"/>
    </xf>
    <xf numFmtId="3" fontId="3" fillId="0" borderId="38" xfId="1" applyNumberFormat="1" applyFont="1" applyBorder="1" applyAlignment="1" applyProtection="1">
      <alignment horizontal="center" wrapText="1"/>
    </xf>
    <xf numFmtId="164" fontId="6" fillId="3" borderId="38" xfId="1" applyNumberFormat="1" applyFont="1" applyFill="1" applyBorder="1" applyAlignment="1" applyProtection="1">
      <alignment horizontal="center" vertical="center" wrapText="1"/>
    </xf>
    <xf numFmtId="164" fontId="6" fillId="9" borderId="38" xfId="1" applyNumberFormat="1" applyFont="1" applyFill="1" applyBorder="1" applyAlignment="1" applyProtection="1">
      <alignment horizontal="center" vertical="center" wrapText="1"/>
    </xf>
    <xf numFmtId="3" fontId="4" fillId="4" borderId="38" xfId="1" applyNumberFormat="1" applyFont="1" applyFill="1" applyBorder="1" applyAlignment="1" applyProtection="1">
      <alignment horizontal="center" vertical="center" wrapText="1"/>
    </xf>
    <xf numFmtId="164" fontId="6" fillId="7" borderId="38" xfId="1" applyNumberFormat="1" applyFont="1" applyFill="1" applyBorder="1" applyAlignment="1" applyProtection="1">
      <alignment horizontal="center" vertical="center" wrapText="1"/>
    </xf>
    <xf numFmtId="164" fontId="8" fillId="3" borderId="132" xfId="1" applyNumberFormat="1" applyFont="1" applyFill="1" applyBorder="1" applyAlignment="1" applyProtection="1">
      <alignment horizontal="center" vertical="center" wrapText="1"/>
    </xf>
    <xf numFmtId="164" fontId="8" fillId="7" borderId="132" xfId="1" applyNumberFormat="1" applyFont="1" applyFill="1" applyBorder="1" applyAlignment="1" applyProtection="1">
      <alignment horizontal="center" vertical="center" wrapText="1"/>
    </xf>
    <xf numFmtId="0" fontId="3" fillId="8" borderId="52" xfId="1" applyFont="1" applyFill="1" applyBorder="1" applyAlignment="1" applyProtection="1">
      <alignment horizontal="center" vertical="center"/>
    </xf>
    <xf numFmtId="0" fontId="3" fillId="2" borderId="53" xfId="1" applyFont="1" applyFill="1" applyBorder="1" applyAlignment="1" applyProtection="1">
      <alignment horizontal="center" vertical="center" wrapText="1"/>
    </xf>
    <xf numFmtId="0" fontId="3" fillId="8" borderId="92" xfId="1" applyFont="1" applyFill="1" applyBorder="1" applyAlignment="1" applyProtection="1">
      <alignment horizontal="center" vertical="center"/>
    </xf>
    <xf numFmtId="0" fontId="3" fillId="10" borderId="92" xfId="1" applyFont="1" applyFill="1" applyBorder="1" applyAlignment="1" applyProtection="1">
      <alignment horizontal="center" vertical="center"/>
    </xf>
    <xf numFmtId="0" fontId="3" fillId="6" borderId="92" xfId="1" applyFont="1" applyFill="1" applyBorder="1" applyAlignment="1" applyProtection="1">
      <alignment horizontal="center" vertical="center"/>
    </xf>
    <xf numFmtId="0" fontId="4" fillId="0" borderId="54" xfId="1" applyFont="1" applyBorder="1" applyAlignment="1" applyProtection="1">
      <alignment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164" fontId="6" fillId="7" borderId="3" xfId="1" applyNumberFormat="1" applyFont="1" applyFill="1" applyBorder="1" applyAlignment="1" applyProtection="1">
      <alignment horizontal="center" vertical="center" wrapText="1"/>
    </xf>
    <xf numFmtId="3" fontId="3" fillId="2" borderId="55" xfId="1" applyNumberFormat="1" applyFont="1" applyFill="1" applyBorder="1" applyAlignment="1" applyProtection="1">
      <alignment horizontal="center" vertical="center" wrapText="1"/>
    </xf>
    <xf numFmtId="3" fontId="4" fillId="0" borderId="55" xfId="1" applyNumberFormat="1" applyFont="1" applyBorder="1" applyAlignment="1" applyProtection="1">
      <alignment horizontal="center" vertical="center" wrapText="1"/>
    </xf>
    <xf numFmtId="3" fontId="3" fillId="2" borderId="131" xfId="1" applyNumberFormat="1" applyFont="1" applyFill="1" applyBorder="1" applyAlignment="1" applyProtection="1">
      <alignment horizontal="center" vertical="center" wrapText="1"/>
    </xf>
    <xf numFmtId="3" fontId="4" fillId="0" borderId="131" xfId="1" applyNumberFormat="1" applyFont="1" applyBorder="1" applyAlignment="1" applyProtection="1">
      <alignment horizontal="center" vertical="center" wrapText="1"/>
    </xf>
    <xf numFmtId="164" fontId="6" fillId="3" borderId="8" xfId="1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</xf>
    <xf numFmtId="164" fontId="6" fillId="7" borderId="8" xfId="1" applyNumberFormat="1" applyFont="1" applyFill="1" applyBorder="1" applyAlignment="1" applyProtection="1">
      <alignment horizontal="center" vertical="center" wrapText="1"/>
    </xf>
    <xf numFmtId="0" fontId="4" fillId="0" borderId="33" xfId="1" applyFont="1" applyBorder="1" applyAlignment="1" applyProtection="1">
      <alignment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4" fillId="0" borderId="8" xfId="1" applyNumberFormat="1" applyFont="1" applyBorder="1" applyAlignment="1" applyProtection="1">
      <alignment horizontal="center" vertical="center" wrapText="1"/>
    </xf>
    <xf numFmtId="164" fontId="6" fillId="3" borderId="140" xfId="1" applyNumberFormat="1" applyFont="1" applyFill="1" applyBorder="1" applyAlignment="1" applyProtection="1">
      <alignment horizontal="center" vertical="center" wrapText="1"/>
    </xf>
    <xf numFmtId="3" fontId="4" fillId="4" borderId="140" xfId="1" applyNumberFormat="1" applyFont="1" applyFill="1" applyBorder="1" applyAlignment="1" applyProtection="1">
      <alignment horizontal="center" vertical="center" wrapText="1"/>
    </xf>
    <xf numFmtId="164" fontId="6" fillId="7" borderId="140" xfId="1" applyNumberFormat="1" applyFont="1" applyFill="1" applyBorder="1" applyAlignment="1" applyProtection="1">
      <alignment horizontal="center" vertical="center" wrapText="1"/>
    </xf>
    <xf numFmtId="164" fontId="6" fillId="7" borderId="161" xfId="1" applyNumberFormat="1" applyFont="1" applyFill="1" applyBorder="1" applyAlignment="1" applyProtection="1">
      <alignment horizontal="center" vertical="center" wrapText="1"/>
    </xf>
    <xf numFmtId="0" fontId="3" fillId="8" borderId="46" xfId="1" applyFont="1" applyFill="1" applyBorder="1" applyAlignment="1" applyProtection="1">
      <alignment horizontal="center" vertical="center"/>
    </xf>
    <xf numFmtId="0" fontId="3" fillId="15" borderId="142" xfId="1" applyFont="1" applyFill="1" applyBorder="1" applyAlignment="1" applyProtection="1">
      <alignment horizontal="center" vertical="center" wrapText="1"/>
    </xf>
    <xf numFmtId="0" fontId="3" fillId="8" borderId="142" xfId="1" applyFont="1" applyFill="1" applyBorder="1" applyAlignment="1" applyProtection="1">
      <alignment horizontal="center" vertical="center"/>
    </xf>
    <xf numFmtId="0" fontId="3" fillId="10" borderId="142" xfId="1" applyFont="1" applyFill="1" applyBorder="1" applyAlignment="1" applyProtection="1">
      <alignment horizontal="center" vertical="center"/>
    </xf>
    <xf numFmtId="0" fontId="3" fillId="6" borderId="142" xfId="1" applyFont="1" applyFill="1" applyBorder="1" applyAlignment="1" applyProtection="1">
      <alignment horizontal="center" vertical="center"/>
    </xf>
    <xf numFmtId="0" fontId="4" fillId="0" borderId="141" xfId="1" applyFont="1" applyBorder="1" applyAlignment="1" applyProtection="1">
      <alignment vertical="center"/>
    </xf>
    <xf numFmtId="3" fontId="3" fillId="15" borderId="140" xfId="1" applyNumberFormat="1" applyFont="1" applyFill="1" applyBorder="1" applyAlignment="1" applyProtection="1">
      <alignment horizontal="center" vertical="center" wrapText="1"/>
    </xf>
    <xf numFmtId="3" fontId="4" fillId="0" borderId="140" xfId="1" applyNumberFormat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vertical="center"/>
    </xf>
    <xf numFmtId="0" fontId="4" fillId="0" borderId="140" xfId="1" applyFont="1" applyBorder="1" applyAlignment="1" applyProtection="1">
      <alignment vertical="center"/>
    </xf>
    <xf numFmtId="164" fontId="6" fillId="3" borderId="151" xfId="1" applyNumberFormat="1" applyFont="1" applyFill="1" applyBorder="1" applyAlignment="1" applyProtection="1">
      <alignment horizontal="center" vertical="center" wrapText="1"/>
    </xf>
    <xf numFmtId="164" fontId="6" fillId="7" borderId="144" xfId="1" applyNumberFormat="1" applyFont="1" applyFill="1" applyBorder="1" applyAlignment="1" applyProtection="1">
      <alignment horizontal="center" vertical="center" wrapText="1"/>
    </xf>
    <xf numFmtId="3" fontId="3" fillId="15" borderId="38" xfId="1" applyNumberFormat="1" applyFont="1" applyFill="1" applyBorder="1" applyAlignment="1" applyProtection="1">
      <alignment horizontal="center" vertical="center" wrapText="1"/>
    </xf>
    <xf numFmtId="164" fontId="6" fillId="3" borderId="156" xfId="1" applyNumberFormat="1" applyFont="1" applyFill="1" applyBorder="1" applyAlignment="1" applyProtection="1">
      <alignment horizontal="center" vertical="center" wrapText="1"/>
    </xf>
    <xf numFmtId="3" fontId="4" fillId="4" borderId="157" xfId="1" applyNumberFormat="1" applyFont="1" applyFill="1" applyBorder="1" applyAlignment="1" applyProtection="1">
      <alignment horizontal="center" vertical="center" wrapText="1"/>
    </xf>
    <xf numFmtId="164" fontId="6" fillId="7" borderId="158" xfId="1" applyNumberFormat="1" applyFont="1" applyFill="1" applyBorder="1" applyAlignment="1" applyProtection="1">
      <alignment horizontal="center" vertical="center" wrapText="1"/>
    </xf>
    <xf numFmtId="164" fontId="6" fillId="7" borderId="112" xfId="1" applyNumberFormat="1" applyFont="1" applyFill="1" applyBorder="1" applyAlignment="1" applyProtection="1">
      <alignment horizontal="center" vertical="center" wrapText="1"/>
    </xf>
    <xf numFmtId="0" fontId="4" fillId="0" borderId="168" xfId="1" applyFont="1" applyBorder="1" applyAlignment="1" applyProtection="1">
      <alignment vertical="center"/>
    </xf>
    <xf numFmtId="3" fontId="3" fillId="15" borderId="118" xfId="1" applyNumberFormat="1" applyFont="1" applyFill="1" applyBorder="1" applyAlignment="1" applyProtection="1">
      <alignment horizontal="center" vertical="center" wrapText="1"/>
    </xf>
    <xf numFmtId="3" fontId="4" fillId="0" borderId="0" xfId="1" applyNumberFormat="1" applyFont="1" applyBorder="1" applyAlignment="1" applyProtection="1">
      <alignment horizontal="center" vertical="center" wrapText="1"/>
    </xf>
    <xf numFmtId="164" fontId="6" fillId="3" borderId="118" xfId="1" applyNumberFormat="1" applyFont="1" applyFill="1" applyBorder="1" applyAlignment="1" applyProtection="1">
      <alignment horizontal="center" vertical="center" wrapText="1"/>
    </xf>
    <xf numFmtId="3" fontId="4" fillId="4" borderId="118" xfId="1" applyNumberFormat="1" applyFont="1" applyFill="1" applyBorder="1" applyAlignment="1" applyProtection="1">
      <alignment horizontal="center" vertical="center" wrapText="1"/>
    </xf>
    <xf numFmtId="164" fontId="6" fillId="7" borderId="118" xfId="1" applyNumberFormat="1" applyFont="1" applyFill="1" applyBorder="1" applyAlignment="1" applyProtection="1">
      <alignment horizontal="center" vertical="center" wrapText="1"/>
    </xf>
    <xf numFmtId="3" fontId="4" fillId="4" borderId="171" xfId="1" applyNumberFormat="1" applyFont="1" applyFill="1" applyBorder="1" applyAlignment="1" applyProtection="1">
      <alignment horizontal="center" vertical="center" wrapText="1"/>
    </xf>
    <xf numFmtId="164" fontId="6" fillId="7" borderId="171" xfId="1" applyNumberFormat="1" applyFont="1" applyFill="1" applyBorder="1" applyAlignment="1" applyProtection="1">
      <alignment horizontal="center" vertical="center" wrapText="1"/>
    </xf>
    <xf numFmtId="0" fontId="3" fillId="8" borderId="60" xfId="1" applyFont="1" applyFill="1" applyBorder="1" applyAlignment="1" applyProtection="1">
      <alignment horizontal="center" vertical="center"/>
    </xf>
    <xf numFmtId="0" fontId="3" fillId="2" borderId="61" xfId="1" applyFont="1" applyFill="1" applyBorder="1" applyAlignment="1" applyProtection="1">
      <alignment horizontal="center" vertical="center" wrapText="1"/>
    </xf>
    <xf numFmtId="3" fontId="3" fillId="2" borderId="63" xfId="1" applyNumberFormat="1" applyFont="1" applyFill="1" applyBorder="1" applyAlignment="1" applyProtection="1">
      <alignment horizontal="center" vertical="center" wrapText="1"/>
    </xf>
    <xf numFmtId="3" fontId="4" fillId="0" borderId="63" xfId="1" applyNumberFormat="1" applyFont="1" applyBorder="1" applyAlignment="1" applyProtection="1">
      <alignment horizontal="center" vertical="center" wrapText="1"/>
    </xf>
    <xf numFmtId="0" fontId="4" fillId="0" borderId="64" xfId="1" applyFont="1" applyBorder="1" applyAlignment="1" applyProtection="1">
      <alignment vertical="center"/>
    </xf>
    <xf numFmtId="3" fontId="3" fillId="2" borderId="65" xfId="1" applyNumberFormat="1" applyFont="1" applyFill="1" applyBorder="1" applyAlignment="1" applyProtection="1">
      <alignment horizontal="center" vertical="center" wrapText="1"/>
    </xf>
    <xf numFmtId="3" fontId="4" fillId="0" borderId="65" xfId="1" applyNumberFormat="1" applyFont="1" applyBorder="1" applyAlignment="1" applyProtection="1">
      <alignment horizontal="center" vertical="center" wrapText="1"/>
    </xf>
    <xf numFmtId="0" fontId="4" fillId="0" borderId="66" xfId="1" applyFont="1" applyBorder="1" applyAlignment="1" applyProtection="1">
      <alignment vertical="center"/>
    </xf>
    <xf numFmtId="3" fontId="3" fillId="2" borderId="67" xfId="1" applyNumberFormat="1" applyFont="1" applyFill="1" applyBorder="1" applyAlignment="1" applyProtection="1">
      <alignment horizontal="center" vertical="center" wrapText="1"/>
    </xf>
    <xf numFmtId="3" fontId="4" fillId="0" borderId="67" xfId="1" applyNumberFormat="1" applyFont="1" applyBorder="1" applyAlignment="1" applyProtection="1">
      <alignment horizontal="center" vertical="center" wrapText="1"/>
    </xf>
    <xf numFmtId="164" fontId="6" fillId="3" borderId="67" xfId="1" applyNumberFormat="1" applyFont="1" applyFill="1" applyBorder="1" applyAlignment="1" applyProtection="1">
      <alignment horizontal="center" vertical="center" wrapText="1"/>
    </xf>
    <xf numFmtId="3" fontId="4" fillId="0" borderId="129" xfId="1" applyNumberFormat="1" applyFont="1" applyBorder="1" applyAlignment="1" applyProtection="1">
      <alignment horizontal="center" vertical="center" wrapText="1"/>
    </xf>
    <xf numFmtId="164" fontId="6" fillId="7" borderId="117" xfId="1" applyNumberFormat="1" applyFont="1" applyFill="1" applyBorder="1" applyAlignment="1" applyProtection="1">
      <alignment horizontal="center" vertical="center" wrapText="1"/>
    </xf>
    <xf numFmtId="164" fontId="6" fillId="7" borderId="41" xfId="1" applyNumberFormat="1" applyFont="1" applyFill="1" applyBorder="1" applyAlignment="1" applyProtection="1">
      <alignment horizontal="center" vertical="center" wrapText="1"/>
    </xf>
    <xf numFmtId="0" fontId="3" fillId="8" borderId="83" xfId="1" applyFont="1" applyFill="1" applyBorder="1" applyAlignment="1" applyProtection="1">
      <alignment horizontal="center" vertical="center"/>
    </xf>
    <xf numFmtId="0" fontId="3" fillId="2" borderId="84" xfId="1" applyFont="1" applyFill="1" applyBorder="1" applyAlignment="1" applyProtection="1">
      <alignment horizontal="center" vertical="center" wrapText="1"/>
    </xf>
    <xf numFmtId="0" fontId="4" fillId="0" borderId="85" xfId="1" applyFont="1" applyBorder="1" applyAlignment="1" applyProtection="1">
      <alignment vertical="center"/>
    </xf>
    <xf numFmtId="3" fontId="3" fillId="2" borderId="86" xfId="1" applyNumberFormat="1" applyFont="1" applyFill="1" applyBorder="1" applyAlignment="1" applyProtection="1">
      <alignment horizontal="center" vertical="center" wrapText="1"/>
    </xf>
    <xf numFmtId="3" fontId="4" fillId="0" borderId="86" xfId="1" applyNumberFormat="1" applyFont="1" applyBorder="1" applyAlignment="1" applyProtection="1">
      <alignment horizontal="center" vertical="center" wrapText="1"/>
    </xf>
    <xf numFmtId="0" fontId="4" fillId="0" borderId="160" xfId="1" applyFont="1" applyBorder="1" applyAlignment="1" applyProtection="1">
      <alignment vertical="center"/>
    </xf>
    <xf numFmtId="3" fontId="4" fillId="2" borderId="132" xfId="1" applyNumberFormat="1" applyFont="1" applyFill="1" applyBorder="1" applyAlignment="1" applyProtection="1">
      <alignment horizontal="center" vertical="center" wrapText="1"/>
    </xf>
    <xf numFmtId="164" fontId="8" fillId="9" borderId="132" xfId="1" applyNumberFormat="1" applyFont="1" applyFill="1" applyBorder="1" applyAlignment="1" applyProtection="1">
      <alignment horizontal="center" vertical="center" wrapText="1"/>
    </xf>
    <xf numFmtId="3" fontId="4" fillId="2" borderId="140" xfId="1" applyNumberFormat="1" applyFont="1" applyFill="1" applyBorder="1" applyAlignment="1" applyProtection="1">
      <alignment horizontal="center" vertical="center" wrapText="1"/>
    </xf>
    <xf numFmtId="164" fontId="8" fillId="3" borderId="140" xfId="1" applyNumberFormat="1" applyFont="1" applyFill="1" applyBorder="1" applyAlignment="1" applyProtection="1">
      <alignment horizontal="center" vertical="center" wrapText="1"/>
    </xf>
    <xf numFmtId="164" fontId="8" fillId="9" borderId="140" xfId="1" applyNumberFormat="1" applyFont="1" applyFill="1" applyBorder="1" applyAlignment="1" applyProtection="1">
      <alignment horizontal="center" vertical="center" wrapText="1"/>
    </xf>
    <xf numFmtId="164" fontId="8" fillId="7" borderId="140" xfId="1" applyNumberFormat="1" applyFont="1" applyFill="1" applyBorder="1" applyAlignment="1" applyProtection="1">
      <alignment horizontal="center" vertical="center" wrapText="1"/>
    </xf>
    <xf numFmtId="0" fontId="3" fillId="8" borderId="72" xfId="1" applyFont="1" applyFill="1" applyBorder="1" applyAlignment="1" applyProtection="1">
      <alignment horizontal="center" vertical="center"/>
    </xf>
    <xf numFmtId="0" fontId="3" fillId="2" borderId="73" xfId="1" applyFont="1" applyFill="1" applyBorder="1" applyAlignment="1" applyProtection="1">
      <alignment horizontal="center" vertical="center" wrapText="1"/>
    </xf>
    <xf numFmtId="0" fontId="4" fillId="0" borderId="74" xfId="1" applyFont="1" applyBorder="1" applyAlignment="1" applyProtection="1">
      <alignment vertical="center"/>
    </xf>
    <xf numFmtId="3" fontId="3" fillId="2" borderId="75" xfId="1" applyNumberFormat="1" applyFont="1" applyFill="1" applyBorder="1" applyAlignment="1" applyProtection="1">
      <alignment horizontal="center" vertical="center" wrapText="1"/>
    </xf>
    <xf numFmtId="3" fontId="4" fillId="0" borderId="75" xfId="1" applyNumberFormat="1" applyFont="1" applyBorder="1" applyAlignment="1" applyProtection="1">
      <alignment horizontal="center" vertical="center" wrapText="1"/>
    </xf>
    <xf numFmtId="164" fontId="6" fillId="3" borderId="75" xfId="1" applyNumberFormat="1" applyFont="1" applyFill="1" applyBorder="1" applyAlignment="1" applyProtection="1">
      <alignment horizontal="center" vertical="center" wrapText="1"/>
    </xf>
    <xf numFmtId="164" fontId="6" fillId="3" borderId="131" xfId="1" applyNumberFormat="1" applyFont="1" applyFill="1" applyBorder="1" applyAlignment="1" applyProtection="1">
      <alignment horizontal="center" vertical="center" wrapText="1"/>
    </xf>
    <xf numFmtId="0" fontId="4" fillId="0" borderId="120" xfId="1" applyFont="1" applyBorder="1" applyAlignment="1" applyProtection="1">
      <alignment vertical="center"/>
    </xf>
    <xf numFmtId="3" fontId="3" fillId="2" borderId="120" xfId="1" applyNumberFormat="1" applyFont="1" applyFill="1" applyBorder="1" applyAlignment="1" applyProtection="1">
      <alignment horizontal="center" vertical="center" wrapText="1"/>
    </xf>
    <xf numFmtId="3" fontId="4" fillId="0" borderId="120" xfId="1" applyNumberFormat="1" applyFont="1" applyBorder="1" applyAlignment="1" applyProtection="1">
      <alignment horizontal="center" vertical="center" wrapText="1"/>
    </xf>
    <xf numFmtId="164" fontId="6" fillId="3" borderId="120" xfId="1" applyNumberFormat="1" applyFont="1" applyFill="1" applyBorder="1" applyAlignment="1" applyProtection="1">
      <alignment horizontal="center" vertical="center" wrapText="1"/>
    </xf>
    <xf numFmtId="3" fontId="4" fillId="0" borderId="13" xfId="1" applyNumberFormat="1" applyFont="1" applyBorder="1" applyAlignment="1" applyProtection="1">
      <alignment horizontal="center" vertical="center" wrapText="1"/>
    </xf>
    <xf numFmtId="3" fontId="4" fillId="0" borderId="136" xfId="1" applyNumberFormat="1" applyFont="1" applyBorder="1" applyAlignment="1" applyProtection="1">
      <alignment horizontal="center" vertical="center" wrapText="1"/>
    </xf>
    <xf numFmtId="164" fontId="6" fillId="3" borderId="152" xfId="1" applyNumberFormat="1" applyFont="1" applyFill="1" applyBorder="1" applyAlignment="1" applyProtection="1">
      <alignment horizontal="center" vertical="center" wrapText="1"/>
    </xf>
    <xf numFmtId="3" fontId="4" fillId="4" borderId="120" xfId="1" applyNumberFormat="1" applyFont="1" applyFill="1" applyBorder="1" applyAlignment="1" applyProtection="1">
      <alignment horizontal="center" vertical="center" wrapText="1"/>
    </xf>
    <xf numFmtId="164" fontId="6" fillId="7" borderId="135" xfId="1" applyNumberFormat="1" applyFont="1" applyFill="1" applyBorder="1" applyAlignment="1" applyProtection="1">
      <alignment horizontal="center" vertical="center" wrapText="1"/>
    </xf>
    <xf numFmtId="0" fontId="3" fillId="8" borderId="15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 wrapText="1"/>
    </xf>
    <xf numFmtId="0" fontId="3" fillId="8" borderId="16" xfId="1" applyFont="1" applyFill="1" applyBorder="1" applyAlignment="1" applyProtection="1">
      <alignment horizontal="center" vertical="center"/>
    </xf>
    <xf numFmtId="0" fontId="3" fillId="10" borderId="16" xfId="1" applyFont="1" applyFill="1" applyBorder="1" applyAlignment="1" applyProtection="1">
      <alignment horizontal="center" vertical="center"/>
    </xf>
    <xf numFmtId="0" fontId="3" fillId="6" borderId="16" xfId="1" applyFont="1" applyFill="1" applyBorder="1" applyAlignment="1" applyProtection="1">
      <alignment horizontal="center" vertical="center"/>
    </xf>
    <xf numFmtId="0" fontId="3" fillId="6" borderId="17" xfId="1" applyFont="1" applyFill="1" applyBorder="1" applyAlignment="1" applyProtection="1">
      <alignment horizontal="center" vertical="center"/>
    </xf>
    <xf numFmtId="0" fontId="4" fillId="0" borderId="93" xfId="1" applyFont="1" applyBorder="1" applyAlignment="1" applyProtection="1">
      <alignment vertical="center"/>
    </xf>
    <xf numFmtId="164" fontId="6" fillId="7" borderId="96" xfId="1" applyNumberFormat="1" applyFont="1" applyFill="1" applyBorder="1" applyAlignment="1" applyProtection="1">
      <alignment horizontal="center" vertical="center" wrapText="1"/>
    </xf>
    <xf numFmtId="0" fontId="4" fillId="0" borderId="162" xfId="1" applyFont="1" applyBorder="1" applyAlignment="1" applyProtection="1">
      <alignment vertical="center"/>
    </xf>
    <xf numFmtId="3" fontId="3" fillId="2" borderId="140" xfId="1" applyNumberFormat="1" applyFont="1" applyFill="1" applyBorder="1" applyAlignment="1" applyProtection="1">
      <alignment horizontal="center" vertical="center" wrapText="1"/>
    </xf>
    <xf numFmtId="164" fontId="6" fillId="7" borderId="170" xfId="1" applyNumberFormat="1" applyFont="1" applyFill="1" applyBorder="1" applyAlignment="1" applyProtection="1">
      <alignment horizontal="center" vertical="center" wrapText="1"/>
    </xf>
    <xf numFmtId="0" fontId="3" fillId="0" borderId="172" xfId="1" applyFont="1" applyBorder="1" applyProtection="1"/>
    <xf numFmtId="3" fontId="3" fillId="2" borderId="157" xfId="1" applyNumberFormat="1" applyFont="1" applyFill="1" applyBorder="1" applyAlignment="1" applyProtection="1">
      <alignment horizontal="center" vertical="center" wrapText="1"/>
    </xf>
    <xf numFmtId="3" fontId="3" fillId="0" borderId="157" xfId="1" applyNumberFormat="1" applyFont="1" applyBorder="1" applyAlignment="1" applyProtection="1">
      <alignment horizontal="center" wrapText="1"/>
    </xf>
    <xf numFmtId="164" fontId="6" fillId="3" borderId="157" xfId="1" applyNumberFormat="1" applyFont="1" applyFill="1" applyBorder="1" applyAlignment="1" applyProtection="1">
      <alignment horizontal="center" vertical="center" wrapText="1"/>
    </xf>
    <xf numFmtId="164" fontId="6" fillId="7" borderId="157" xfId="1" applyNumberFormat="1" applyFont="1" applyFill="1" applyBorder="1" applyAlignment="1" applyProtection="1">
      <alignment horizontal="center" vertical="center" wrapText="1"/>
    </xf>
    <xf numFmtId="164" fontId="6" fillId="7" borderId="163" xfId="1" applyNumberFormat="1" applyFont="1" applyFill="1" applyBorder="1" applyAlignment="1" applyProtection="1">
      <alignment horizontal="center" vertical="center" wrapText="1"/>
    </xf>
    <xf numFmtId="0" fontId="4" fillId="0" borderId="132" xfId="1" applyFont="1" applyBorder="1" applyAlignment="1" applyProtection="1">
      <alignment horizontal="left" vertical="center" wrapText="1"/>
    </xf>
    <xf numFmtId="0" fontId="3" fillId="15" borderId="13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3" fillId="4" borderId="132" xfId="1" applyNumberFormat="1" applyFont="1" applyFill="1" applyBorder="1" applyAlignment="1" applyProtection="1">
      <alignment horizontal="center" wrapText="1"/>
    </xf>
    <xf numFmtId="0" fontId="17" fillId="4" borderId="23" xfId="0" applyFont="1" applyFill="1" applyBorder="1" applyAlignment="1" applyProtection="1">
      <alignment horizontal="center" vertical="center" wrapText="1"/>
    </xf>
    <xf numFmtId="0" fontId="17" fillId="4" borderId="173" xfId="0" applyFont="1" applyFill="1" applyBorder="1" applyAlignment="1" applyProtection="1">
      <alignment horizontal="center" wrapText="1"/>
    </xf>
    <xf numFmtId="0" fontId="25" fillId="6" borderId="174" xfId="1" applyFont="1" applyFill="1" applyBorder="1" applyAlignment="1" applyProtection="1">
      <alignment horizontal="center" vertical="center"/>
    </xf>
    <xf numFmtId="0" fontId="25" fillId="6" borderId="175" xfId="1" applyFont="1" applyFill="1" applyBorder="1" applyAlignment="1" applyProtection="1">
      <alignment horizontal="center" vertical="center"/>
    </xf>
    <xf numFmtId="0" fontId="25" fillId="6" borderId="172" xfId="1" applyFont="1" applyFill="1" applyBorder="1" applyAlignment="1" applyProtection="1">
      <alignment horizontal="center" vertical="center"/>
    </xf>
    <xf numFmtId="0" fontId="25" fillId="6" borderId="163" xfId="1" applyFont="1" applyFill="1" applyBorder="1" applyAlignment="1" applyProtection="1">
      <alignment horizontal="center" vertical="center"/>
    </xf>
    <xf numFmtId="0" fontId="29" fillId="20" borderId="172" xfId="1" applyFont="1" applyFill="1" applyBorder="1" applyAlignment="1" applyProtection="1">
      <alignment horizontal="center" vertical="center" wrapText="1"/>
    </xf>
    <xf numFmtId="0" fontId="29" fillId="20" borderId="163" xfId="1" applyFont="1" applyFill="1" applyBorder="1" applyAlignment="1" applyProtection="1">
      <alignment horizontal="center" vertical="center" wrapText="1"/>
    </xf>
    <xf numFmtId="3" fontId="17" fillId="17" borderId="25" xfId="0" applyNumberFormat="1" applyFont="1" applyFill="1" applyBorder="1" applyAlignment="1" applyProtection="1">
      <alignment horizontal="center" vertical="center"/>
    </xf>
    <xf numFmtId="3" fontId="0" fillId="0" borderId="176" xfId="0" applyNumberFormat="1" applyBorder="1" applyAlignment="1" applyProtection="1">
      <alignment horizontal="center" vertical="center"/>
    </xf>
    <xf numFmtId="9" fontId="30" fillId="12" borderId="152" xfId="25" applyFont="1" applyFill="1" applyBorder="1" applyAlignment="1" applyProtection="1">
      <alignment horizontal="center" vertical="center"/>
    </xf>
    <xf numFmtId="3" fontId="0" fillId="0" borderId="40" xfId="0" applyNumberFormat="1" applyBorder="1" applyAlignment="1" applyProtection="1">
      <alignment horizontal="center" vertical="center"/>
    </xf>
    <xf numFmtId="9" fontId="30" fillId="12" borderId="109" xfId="25" applyFont="1" applyFill="1" applyBorder="1" applyAlignment="1" applyProtection="1">
      <alignment horizontal="center" vertical="center"/>
    </xf>
    <xf numFmtId="3" fontId="17" fillId="17" borderId="40" xfId="0" applyNumberFormat="1" applyFont="1" applyFill="1" applyBorder="1" applyAlignment="1" applyProtection="1">
      <alignment horizontal="center" vertical="center"/>
    </xf>
    <xf numFmtId="9" fontId="30" fillId="17" borderId="109" xfId="25" applyFont="1" applyFill="1" applyBorder="1" applyAlignment="1" applyProtection="1">
      <alignment horizontal="center" vertical="center"/>
    </xf>
    <xf numFmtId="9" fontId="30" fillId="12" borderId="96" xfId="25" applyFont="1" applyFill="1" applyBorder="1" applyAlignment="1" applyProtection="1">
      <alignment horizontal="center" vertical="center"/>
    </xf>
    <xf numFmtId="3" fontId="17" fillId="17" borderId="122" xfId="0" applyNumberFormat="1" applyFont="1" applyFill="1" applyBorder="1" applyAlignment="1" applyProtection="1">
      <alignment horizontal="center" vertical="center"/>
    </xf>
    <xf numFmtId="0" fontId="0" fillId="0" borderId="177" xfId="0" applyBorder="1" applyAlignment="1" applyProtection="1">
      <alignment horizontal="center" vertical="center"/>
    </xf>
    <xf numFmtId="9" fontId="30" fillId="12" borderId="104" xfId="25" applyFont="1" applyFill="1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3" fontId="0" fillId="0" borderId="93" xfId="0" applyNumberFormat="1" applyBorder="1" applyAlignment="1" applyProtection="1">
      <alignment horizontal="center" vertical="center"/>
    </xf>
    <xf numFmtId="3" fontId="17" fillId="17" borderId="93" xfId="0" applyNumberFormat="1" applyFont="1" applyFill="1" applyBorder="1" applyAlignment="1" applyProtection="1">
      <alignment horizontal="center" vertical="center"/>
    </xf>
    <xf numFmtId="9" fontId="30" fillId="17" borderId="96" xfId="25" applyFont="1" applyFill="1" applyBorder="1" applyAlignment="1" applyProtection="1">
      <alignment horizontal="center" vertical="center"/>
    </xf>
    <xf numFmtId="0" fontId="0" fillId="0" borderId="177" xfId="0" applyFill="1" applyBorder="1" applyAlignment="1" applyProtection="1">
      <alignment horizontal="center" vertical="center"/>
    </xf>
    <xf numFmtId="0" fontId="0" fillId="0" borderId="93" xfId="0" applyFill="1" applyBorder="1" applyAlignment="1" applyProtection="1">
      <alignment horizontal="center" vertical="center"/>
    </xf>
    <xf numFmtId="3" fontId="0" fillId="0" borderId="93" xfId="0" applyNumberFormat="1" applyFill="1" applyBorder="1" applyAlignment="1" applyProtection="1">
      <alignment horizontal="center" vertical="center"/>
    </xf>
    <xf numFmtId="0" fontId="17" fillId="21" borderId="23" xfId="0" applyFont="1" applyFill="1" applyBorder="1" applyAlignment="1" applyProtection="1">
      <alignment horizontal="center" vertical="center" wrapText="1"/>
    </xf>
    <xf numFmtId="3" fontId="17" fillId="21" borderId="173" xfId="0" applyNumberFormat="1" applyFont="1" applyFill="1" applyBorder="1" applyAlignment="1" applyProtection="1">
      <alignment horizontal="center" vertical="center"/>
    </xf>
    <xf numFmtId="3" fontId="17" fillId="21" borderId="174" xfId="0" applyNumberFormat="1" applyFont="1" applyFill="1" applyBorder="1" applyAlignment="1" applyProtection="1">
      <alignment horizontal="center" vertical="center"/>
    </xf>
    <xf numFmtId="9" fontId="30" fillId="21" borderId="175" xfId="25" applyFont="1" applyFill="1" applyBorder="1" applyAlignment="1" applyProtection="1">
      <alignment horizontal="center" vertical="center"/>
    </xf>
    <xf numFmtId="3" fontId="17" fillId="21" borderId="172" xfId="0" applyNumberFormat="1" applyFont="1" applyFill="1" applyBorder="1" applyAlignment="1" applyProtection="1">
      <alignment horizontal="center" vertical="center"/>
    </xf>
    <xf numFmtId="9" fontId="30" fillId="21" borderId="163" xfId="25" applyFont="1" applyFill="1" applyBorder="1" applyAlignment="1" applyProtection="1">
      <alignment horizontal="center" vertical="center"/>
    </xf>
    <xf numFmtId="0" fontId="17" fillId="22" borderId="101" xfId="0" applyFont="1" applyFill="1" applyBorder="1" applyAlignment="1" applyProtection="1">
      <alignment horizontal="center" vertical="center" wrapText="1"/>
    </xf>
    <xf numFmtId="3" fontId="17" fillId="22" borderId="178" xfId="0" applyNumberFormat="1" applyFont="1" applyFill="1" applyBorder="1" applyAlignment="1" applyProtection="1">
      <alignment horizontal="center" vertical="center"/>
    </xf>
    <xf numFmtId="3" fontId="17" fillId="22" borderId="179" xfId="0" applyNumberFormat="1" applyFont="1" applyFill="1" applyBorder="1" applyAlignment="1" applyProtection="1">
      <alignment horizontal="center" vertical="center"/>
    </xf>
    <xf numFmtId="9" fontId="30" fillId="22" borderId="180" xfId="25" applyFont="1" applyFill="1" applyBorder="1" applyAlignment="1" applyProtection="1">
      <alignment horizontal="center" vertical="center"/>
    </xf>
    <xf numFmtId="3" fontId="17" fillId="22" borderId="181" xfId="0" applyNumberFormat="1" applyFont="1" applyFill="1" applyBorder="1" applyAlignment="1" applyProtection="1">
      <alignment horizontal="center" vertical="center"/>
    </xf>
    <xf numFmtId="9" fontId="30" fillId="22" borderId="182" xfId="25" applyFont="1" applyFill="1" applyBorder="1" applyAlignment="1" applyProtection="1">
      <alignment horizontal="center" vertical="center"/>
    </xf>
    <xf numFmtId="0" fontId="0" fillId="0" borderId="176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3" fontId="0" fillId="0" borderId="40" xfId="0" applyNumberFormat="1" applyFill="1" applyBorder="1" applyAlignment="1" applyProtection="1">
      <alignment horizontal="center" vertical="center"/>
    </xf>
    <xf numFmtId="3" fontId="17" fillId="17" borderId="184" xfId="0" applyNumberFormat="1" applyFont="1" applyFill="1" applyBorder="1" applyAlignment="1" applyProtection="1">
      <alignment horizontal="center" vertical="center"/>
    </xf>
    <xf numFmtId="0" fontId="0" fillId="0" borderId="185" xfId="0" applyBorder="1" applyAlignment="1" applyProtection="1">
      <alignment horizontal="center" vertical="center"/>
    </xf>
    <xf numFmtId="9" fontId="30" fillId="12" borderId="186" xfId="25" applyFont="1" applyFill="1" applyBorder="1" applyAlignment="1" applyProtection="1">
      <alignment horizontal="center" vertical="center"/>
    </xf>
    <xf numFmtId="0" fontId="0" fillId="0" borderId="162" xfId="0" applyBorder="1" applyAlignment="1" applyProtection="1">
      <alignment horizontal="center" vertical="center"/>
    </xf>
    <xf numFmtId="9" fontId="30" fillId="12" borderId="170" xfId="25" applyFont="1" applyFill="1" applyBorder="1" applyAlignment="1" applyProtection="1">
      <alignment horizontal="center" vertical="center"/>
    </xf>
    <xf numFmtId="3" fontId="0" fillId="0" borderId="162" xfId="0" applyNumberFormat="1" applyBorder="1" applyAlignment="1" applyProtection="1">
      <alignment horizontal="center" vertical="center"/>
    </xf>
    <xf numFmtId="0" fontId="0" fillId="0" borderId="97" xfId="0" applyBorder="1" applyAlignment="1" applyProtection="1">
      <alignment horizontal="center" vertical="center"/>
    </xf>
    <xf numFmtId="9" fontId="30" fillId="12" borderId="187" xfId="25" applyFont="1" applyFill="1" applyBorder="1" applyAlignment="1" applyProtection="1">
      <alignment horizontal="center" vertical="center"/>
    </xf>
    <xf numFmtId="3" fontId="17" fillId="17" borderId="97" xfId="0" applyNumberFormat="1" applyFont="1" applyFill="1" applyBorder="1" applyAlignment="1" applyProtection="1">
      <alignment horizontal="center" vertical="center"/>
    </xf>
    <xf numFmtId="9" fontId="30" fillId="17" borderId="187" xfId="25" applyFont="1" applyFill="1" applyBorder="1" applyAlignment="1" applyProtection="1">
      <alignment horizontal="center" vertical="center"/>
    </xf>
    <xf numFmtId="3" fontId="17" fillId="17" borderId="122" xfId="0" applyNumberFormat="1" applyFont="1" applyFill="1" applyBorder="1" applyAlignment="1" applyProtection="1">
      <alignment horizontal="center"/>
    </xf>
    <xf numFmtId="3" fontId="0" fillId="0" borderId="177" xfId="0" applyNumberFormat="1" applyFill="1" applyBorder="1" applyAlignment="1" applyProtection="1">
      <alignment horizontal="center" vertical="center"/>
    </xf>
    <xf numFmtId="0" fontId="21" fillId="0" borderId="105" xfId="0" applyFont="1" applyBorder="1" applyAlignment="1" applyProtection="1">
      <alignment vertical="center" wrapText="1"/>
    </xf>
    <xf numFmtId="0" fontId="21" fillId="0" borderId="107" xfId="0" applyFont="1" applyBorder="1" applyAlignment="1" applyProtection="1">
      <alignment vertical="center" wrapText="1"/>
    </xf>
    <xf numFmtId="0" fontId="21" fillId="0" borderId="183" xfId="0" applyFont="1" applyBorder="1" applyAlignment="1" applyProtection="1">
      <alignment vertical="center" wrapText="1"/>
    </xf>
    <xf numFmtId="0" fontId="31" fillId="21" borderId="23" xfId="0" applyFont="1" applyFill="1" applyBorder="1" applyAlignment="1" applyProtection="1">
      <alignment horizontal="center" vertical="center" wrapText="1"/>
    </xf>
    <xf numFmtId="0" fontId="4" fillId="0" borderId="140" xfId="1" applyFont="1" applyBorder="1" applyAlignment="1" applyProtection="1">
      <alignment vertical="center" wrapText="1"/>
    </xf>
    <xf numFmtId="0" fontId="4" fillId="0" borderId="62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vertical="center" wrapText="1"/>
    </xf>
    <xf numFmtId="0" fontId="4" fillId="0" borderId="137" xfId="1" applyFont="1" applyBorder="1" applyAlignment="1" applyProtection="1">
      <alignment vertical="center" wrapText="1"/>
    </xf>
    <xf numFmtId="0" fontId="4" fillId="0" borderId="89" xfId="1" applyFont="1" applyBorder="1" applyAlignment="1" applyProtection="1">
      <alignment vertical="center" wrapText="1"/>
    </xf>
    <xf numFmtId="0" fontId="4" fillId="0" borderId="101" xfId="1" applyFont="1" applyBorder="1" applyAlignment="1">
      <alignment vertical="center"/>
    </xf>
    <xf numFmtId="0" fontId="4" fillId="0" borderId="101" xfId="1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3" fontId="0" fillId="0" borderId="177" xfId="0" applyNumberFormat="1" applyBorder="1" applyAlignment="1" applyProtection="1">
      <alignment horizontal="center" vertical="center"/>
    </xf>
    <xf numFmtId="0" fontId="0" fillId="0" borderId="132" xfId="0" applyBorder="1" applyAlignment="1">
      <alignment horizontal="center"/>
    </xf>
    <xf numFmtId="0" fontId="4" fillId="0" borderId="59" xfId="1" applyNumberFormat="1" applyFont="1" applyBorder="1" applyAlignment="1" applyProtection="1">
      <alignment horizontal="center" vertical="center" wrapText="1"/>
      <protection locked="0"/>
    </xf>
    <xf numFmtId="0" fontId="4" fillId="0" borderId="80" xfId="1" applyNumberFormat="1" applyFont="1" applyBorder="1" applyAlignment="1" applyProtection="1">
      <alignment horizontal="center" vertical="center" wrapText="1"/>
      <protection locked="0"/>
    </xf>
    <xf numFmtId="0" fontId="4" fillId="0" borderId="71" xfId="24" applyNumberFormat="1" applyFont="1" applyBorder="1" applyAlignment="1" applyProtection="1">
      <alignment horizontal="center" vertical="center" wrapText="1"/>
      <protection locked="0"/>
    </xf>
    <xf numFmtId="0" fontId="4" fillId="0" borderId="59" xfId="24" applyNumberFormat="1" applyFont="1" applyBorder="1" applyAlignment="1" applyProtection="1">
      <alignment horizontal="center" vertical="center" wrapText="1"/>
      <protection locked="0"/>
    </xf>
    <xf numFmtId="0" fontId="4" fillId="0" borderId="131" xfId="1" applyNumberFormat="1" applyFont="1" applyBorder="1" applyAlignment="1" applyProtection="1">
      <alignment horizontal="center" vertical="center" wrapText="1"/>
      <protection locked="0"/>
    </xf>
    <xf numFmtId="0" fontId="4" fillId="0" borderId="132" xfId="1" applyNumberFormat="1" applyFont="1" applyBorder="1" applyAlignment="1" applyProtection="1">
      <alignment horizontal="center" vertical="center" wrapText="1"/>
      <protection locked="0"/>
    </xf>
    <xf numFmtId="0" fontId="4" fillId="0" borderId="71" xfId="1" applyNumberFormat="1" applyFont="1" applyBorder="1" applyAlignment="1" applyProtection="1">
      <alignment horizontal="center" vertical="center" wrapText="1"/>
      <protection locked="0"/>
    </xf>
    <xf numFmtId="9" fontId="6" fillId="3" borderId="3" xfId="25" applyFont="1" applyFill="1" applyBorder="1" applyAlignment="1">
      <alignment horizontal="center" vertical="center" wrapText="1"/>
    </xf>
    <xf numFmtId="9" fontId="6" fillId="3" borderId="125" xfId="25" applyFont="1" applyFill="1" applyBorder="1" applyAlignment="1">
      <alignment horizontal="center" vertical="center" wrapText="1"/>
    </xf>
    <xf numFmtId="9" fontId="6" fillId="3" borderId="8" xfId="25" applyFont="1" applyFill="1" applyBorder="1" applyAlignment="1">
      <alignment horizontal="center" vertical="center" wrapText="1"/>
    </xf>
    <xf numFmtId="168" fontId="4" fillId="0" borderId="132" xfId="1" applyNumberFormat="1" applyFont="1" applyBorder="1" applyAlignment="1" applyProtection="1">
      <alignment horizontal="center" vertical="center" wrapText="1"/>
      <protection locked="0"/>
    </xf>
    <xf numFmtId="166" fontId="4" fillId="0" borderId="132" xfId="1" applyNumberFormat="1" applyFont="1" applyBorder="1" applyAlignment="1" applyProtection="1">
      <alignment horizontal="center" vertical="center" wrapText="1"/>
      <protection locked="0"/>
    </xf>
    <xf numFmtId="0" fontId="3" fillId="13" borderId="101" xfId="1" applyFont="1" applyFill="1" applyBorder="1"/>
    <xf numFmtId="3" fontId="3" fillId="23" borderId="0" xfId="1" applyNumberFormat="1" applyFont="1" applyFill="1" applyBorder="1" applyAlignment="1">
      <alignment horizontal="center" vertical="center" wrapText="1"/>
    </xf>
    <xf numFmtId="3" fontId="3" fillId="13" borderId="0" xfId="1" applyNumberFormat="1" applyFont="1" applyFill="1" applyBorder="1" applyAlignment="1">
      <alignment horizontal="center" wrapText="1"/>
    </xf>
    <xf numFmtId="164" fontId="6" fillId="24" borderId="0" xfId="1" applyNumberFormat="1" applyFont="1" applyFill="1" applyBorder="1" applyAlignment="1">
      <alignment horizontal="center" vertical="center" wrapText="1"/>
    </xf>
    <xf numFmtId="3" fontId="4" fillId="13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164" fontId="4" fillId="4" borderId="132" xfId="2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1" applyFont="1" applyBorder="1"/>
    <xf numFmtId="164" fontId="8" fillId="7" borderId="125" xfId="1" applyNumberFormat="1" applyFont="1" applyFill="1" applyBorder="1" applyAlignment="1">
      <alignment horizontal="center" vertical="center" wrapText="1"/>
    </xf>
    <xf numFmtId="164" fontId="8" fillId="3" borderId="164" xfId="1" applyNumberFormat="1" applyFont="1" applyFill="1" applyBorder="1" applyAlignment="1">
      <alignment horizontal="center" vertical="center" wrapText="1"/>
    </xf>
    <xf numFmtId="3" fontId="4" fillId="0" borderId="164" xfId="1" applyNumberFormat="1" applyFont="1" applyBorder="1" applyAlignment="1" applyProtection="1">
      <alignment horizontal="center" vertical="center" wrapText="1"/>
      <protection locked="0"/>
    </xf>
    <xf numFmtId="164" fontId="8" fillId="3" borderId="125" xfId="1" applyNumberFormat="1" applyFont="1" applyFill="1" applyBorder="1" applyAlignment="1">
      <alignment horizontal="center" vertical="center" wrapText="1"/>
    </xf>
    <xf numFmtId="3" fontId="3" fillId="2" borderId="164" xfId="1" applyNumberFormat="1" applyFont="1" applyFill="1" applyBorder="1" applyAlignment="1">
      <alignment horizontal="center" vertical="center" wrapText="1"/>
    </xf>
    <xf numFmtId="0" fontId="4" fillId="0" borderId="164" xfId="1" applyFont="1" applyBorder="1" applyAlignment="1">
      <alignment vertical="center"/>
    </xf>
    <xf numFmtId="164" fontId="8" fillId="9" borderId="125" xfId="1" applyNumberFormat="1" applyFont="1" applyFill="1" applyBorder="1" applyAlignment="1">
      <alignment horizontal="center" vertical="center" wrapText="1"/>
    </xf>
    <xf numFmtId="3" fontId="3" fillId="2" borderId="125" xfId="1" applyNumberFormat="1" applyFont="1" applyFill="1" applyBorder="1" applyAlignment="1">
      <alignment horizontal="center" vertical="center" wrapText="1"/>
    </xf>
    <xf numFmtId="0" fontId="4" fillId="0" borderId="189" xfId="1" applyFont="1" applyBorder="1" applyAlignment="1">
      <alignment vertical="center"/>
    </xf>
    <xf numFmtId="3" fontId="4" fillId="15" borderId="169" xfId="1" applyNumberFormat="1" applyFont="1" applyFill="1" applyBorder="1" applyAlignment="1">
      <alignment horizontal="center" vertical="center" wrapText="1"/>
    </xf>
    <xf numFmtId="0" fontId="4" fillId="0" borderId="169" xfId="1" applyFont="1" applyBorder="1" applyAlignment="1">
      <alignment vertical="center"/>
    </xf>
    <xf numFmtId="3" fontId="4" fillId="15" borderId="164" xfId="1" applyNumberFormat="1" applyFont="1" applyFill="1" applyBorder="1" applyAlignment="1">
      <alignment horizontal="center" vertical="center" wrapText="1"/>
    </xf>
    <xf numFmtId="0" fontId="3" fillId="15" borderId="92" xfId="1" applyFont="1" applyFill="1" applyBorder="1" applyAlignment="1">
      <alignment horizontal="center" vertical="center" wrapText="1"/>
    </xf>
    <xf numFmtId="3" fontId="3" fillId="15" borderId="169" xfId="1" applyNumberFormat="1" applyFont="1" applyFill="1" applyBorder="1" applyAlignment="1">
      <alignment horizontal="center" vertical="center" wrapText="1"/>
    </xf>
    <xf numFmtId="3" fontId="3" fillId="15" borderId="164" xfId="1" applyNumberFormat="1" applyFont="1" applyFill="1" applyBorder="1" applyAlignment="1">
      <alignment horizontal="center" vertical="center" wrapText="1"/>
    </xf>
    <xf numFmtId="166" fontId="4" fillId="0" borderId="164" xfId="1" applyNumberFormat="1" applyFont="1" applyBorder="1" applyAlignment="1" applyProtection="1">
      <alignment horizontal="center" vertical="center" wrapText="1"/>
      <protection locked="0"/>
    </xf>
    <xf numFmtId="0" fontId="4" fillId="0" borderId="164" xfId="1" applyNumberFormat="1" applyFont="1" applyBorder="1" applyAlignment="1" applyProtection="1">
      <alignment horizontal="center" vertical="center" wrapText="1"/>
      <protection locked="0"/>
    </xf>
    <xf numFmtId="3" fontId="3" fillId="15" borderId="125" xfId="1" applyNumberFormat="1" applyFont="1" applyFill="1" applyBorder="1" applyAlignment="1">
      <alignment horizontal="center" vertical="center" wrapText="1"/>
    </xf>
    <xf numFmtId="3" fontId="3" fillId="2" borderId="169" xfId="1" applyNumberFormat="1" applyFont="1" applyFill="1" applyBorder="1" applyAlignment="1">
      <alignment horizontal="center" vertical="center" wrapText="1"/>
    </xf>
    <xf numFmtId="0" fontId="0" fillId="0" borderId="140" xfId="0" applyBorder="1"/>
    <xf numFmtId="0" fontId="0" fillId="0" borderId="140" xfId="0" applyBorder="1" applyAlignment="1">
      <alignment horizontal="center"/>
    </xf>
    <xf numFmtId="0" fontId="0" fillId="17" borderId="140" xfId="0" applyFill="1" applyBorder="1" applyAlignment="1">
      <alignment horizontal="center"/>
    </xf>
    <xf numFmtId="0" fontId="4" fillId="0" borderId="140" xfId="1" applyFont="1" applyFill="1" applyBorder="1" applyAlignment="1">
      <alignment vertical="center"/>
    </xf>
    <xf numFmtId="0" fontId="4" fillId="0" borderId="132" xfId="1" applyFont="1" applyFill="1" applyBorder="1" applyAlignment="1">
      <alignment vertical="center"/>
    </xf>
    <xf numFmtId="166" fontId="4" fillId="0" borderId="125" xfId="1" applyNumberFormat="1" applyFont="1" applyBorder="1" applyAlignment="1" applyProtection="1">
      <alignment horizontal="center" vertical="center" wrapText="1"/>
      <protection locked="0"/>
    </xf>
    <xf numFmtId="164" fontId="6" fillId="7" borderId="185" xfId="1" applyNumberFormat="1" applyFont="1" applyFill="1" applyBorder="1" applyAlignment="1">
      <alignment horizontal="center" vertical="center" wrapText="1"/>
    </xf>
    <xf numFmtId="164" fontId="6" fillId="3" borderId="186" xfId="1" applyNumberFormat="1" applyFont="1" applyFill="1" applyBorder="1" applyAlignment="1">
      <alignment horizontal="center" vertical="center" wrapText="1"/>
    </xf>
    <xf numFmtId="0" fontId="3" fillId="10" borderId="159" xfId="1" applyFont="1" applyFill="1" applyBorder="1" applyAlignment="1">
      <alignment horizontal="center" vertical="center"/>
    </xf>
    <xf numFmtId="0" fontId="3" fillId="8" borderId="159" xfId="1" applyFont="1" applyFill="1" applyBorder="1" applyAlignment="1">
      <alignment horizontal="center" vertical="center"/>
    </xf>
    <xf numFmtId="0" fontId="3" fillId="15" borderId="159" xfId="1" applyFont="1" applyFill="1" applyBorder="1" applyAlignment="1">
      <alignment horizontal="center" vertical="center" wrapText="1"/>
    </xf>
    <xf numFmtId="0" fontId="4" fillId="0" borderId="169" xfId="1" applyNumberFormat="1" applyFont="1" applyBorder="1" applyAlignment="1" applyProtection="1">
      <alignment horizontal="center" vertical="center" wrapText="1"/>
      <protection locked="0"/>
    </xf>
    <xf numFmtId="3" fontId="25" fillId="2" borderId="164" xfId="1" applyNumberFormat="1" applyFont="1" applyFill="1" applyBorder="1" applyAlignment="1">
      <alignment horizontal="center" vertical="center" wrapText="1"/>
    </xf>
    <xf numFmtId="0" fontId="4" fillId="13" borderId="164" xfId="1" applyFont="1" applyFill="1" applyBorder="1" applyAlignment="1">
      <alignment vertical="center"/>
    </xf>
    <xf numFmtId="0" fontId="4" fillId="0" borderId="138" xfId="1" applyFont="1" applyBorder="1" applyAlignment="1">
      <alignment vertical="center"/>
    </xf>
    <xf numFmtId="4" fontId="4" fillId="0" borderId="164" xfId="1" applyNumberFormat="1" applyFont="1" applyBorder="1" applyAlignment="1" applyProtection="1">
      <alignment horizontal="center" vertical="center" wrapText="1"/>
      <protection locked="0"/>
    </xf>
    <xf numFmtId="0" fontId="4" fillId="0" borderId="164" xfId="24" applyNumberFormat="1" applyFont="1" applyBorder="1" applyAlignment="1" applyProtection="1">
      <alignment horizontal="center" vertical="center" wrapText="1"/>
      <protection locked="0"/>
    </xf>
    <xf numFmtId="168" fontId="4" fillId="0" borderId="164" xfId="24" applyNumberFormat="1" applyFont="1" applyBorder="1" applyAlignment="1" applyProtection="1">
      <alignment horizontal="center" vertical="center" wrapText="1"/>
      <protection locked="0"/>
    </xf>
    <xf numFmtId="164" fontId="6" fillId="3" borderId="159" xfId="1" applyNumberFormat="1" applyFont="1" applyFill="1" applyBorder="1" applyAlignment="1">
      <alignment horizontal="center" vertical="center" wrapText="1"/>
    </xf>
    <xf numFmtId="3" fontId="3" fillId="2" borderId="159" xfId="1" applyNumberFormat="1" applyFont="1" applyFill="1" applyBorder="1" applyAlignment="1">
      <alignment horizontal="center" vertical="center" wrapText="1"/>
    </xf>
    <xf numFmtId="3" fontId="4" fillId="2" borderId="169" xfId="1" applyNumberFormat="1" applyFont="1" applyFill="1" applyBorder="1" applyAlignment="1">
      <alignment horizontal="center" vertical="center" wrapText="1"/>
    </xf>
    <xf numFmtId="3" fontId="4" fillId="2" borderId="164" xfId="1" applyNumberFormat="1" applyFont="1" applyFill="1" applyBorder="1" applyAlignment="1">
      <alignment horizontal="center" vertical="center" wrapText="1"/>
    </xf>
    <xf numFmtId="164" fontId="6" fillId="7" borderId="0" xfId="1" applyNumberFormat="1" applyFont="1" applyFill="1" applyBorder="1" applyAlignment="1">
      <alignment horizontal="center" vertical="center" wrapText="1"/>
    </xf>
    <xf numFmtId="3" fontId="4" fillId="4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3" fillId="0" borderId="101" xfId="1" applyFont="1" applyBorder="1"/>
    <xf numFmtId="164" fontId="6" fillId="3" borderId="169" xfId="1" applyNumberFormat="1" applyFont="1" applyFill="1" applyBorder="1" applyAlignment="1">
      <alignment horizontal="center" vertical="center" wrapText="1"/>
    </xf>
    <xf numFmtId="164" fontId="6" fillId="3" borderId="164" xfId="1" applyNumberFormat="1" applyFont="1" applyFill="1" applyBorder="1" applyAlignment="1">
      <alignment horizontal="center" vertical="center" wrapText="1"/>
    </xf>
    <xf numFmtId="0" fontId="4" fillId="0" borderId="190" xfId="1" applyFont="1" applyBorder="1" applyAlignment="1">
      <alignment vertical="center"/>
    </xf>
    <xf numFmtId="164" fontId="4" fillId="4" borderId="191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19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69" xfId="1" applyFont="1" applyFill="1" applyBorder="1" applyAlignment="1">
      <alignment vertical="center"/>
    </xf>
    <xf numFmtId="0" fontId="4" fillId="0" borderId="89" xfId="1" applyFont="1" applyBorder="1" applyAlignment="1">
      <alignment horizontal="left" vertical="center"/>
    </xf>
    <xf numFmtId="0" fontId="11" fillId="0" borderId="114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03" xfId="4" applyFont="1" applyBorder="1" applyAlignment="1">
      <alignment horizontal="center" vertical="center"/>
    </xf>
    <xf numFmtId="0" fontId="12" fillId="0" borderId="111" xfId="4" applyFont="1" applyBorder="1" applyAlignment="1">
      <alignment horizontal="center" vertical="center"/>
    </xf>
    <xf numFmtId="0" fontId="12" fillId="0" borderId="110" xfId="4" applyFont="1" applyBorder="1" applyAlignment="1">
      <alignment horizontal="left" vertical="center"/>
    </xf>
    <xf numFmtId="0" fontId="12" fillId="0" borderId="36" xfId="4" applyFont="1" applyBorder="1" applyAlignment="1">
      <alignment horizontal="left" vertical="center"/>
    </xf>
    <xf numFmtId="17" fontId="12" fillId="0" borderId="23" xfId="4" applyNumberFormat="1" applyFont="1" applyBorder="1" applyAlignment="1">
      <alignment horizontal="center" vertical="center"/>
    </xf>
    <xf numFmtId="0" fontId="12" fillId="0" borderId="112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113" xfId="4" applyFont="1" applyBorder="1" applyAlignment="1">
      <alignment horizontal="center" vertical="center"/>
    </xf>
    <xf numFmtId="0" fontId="2" fillId="5" borderId="132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5" borderId="105" xfId="1" applyFont="1" applyFill="1" applyBorder="1" applyAlignment="1">
      <alignment horizontal="center" vertical="center"/>
    </xf>
    <xf numFmtId="0" fontId="2" fillId="5" borderId="106" xfId="1" applyFont="1" applyFill="1" applyBorder="1" applyAlignment="1">
      <alignment horizontal="center" vertical="center"/>
    </xf>
    <xf numFmtId="0" fontId="2" fillId="5" borderId="188" xfId="1" applyFont="1" applyFill="1" applyBorder="1" applyAlignment="1">
      <alignment horizontal="center" vertical="center"/>
    </xf>
    <xf numFmtId="0" fontId="2" fillId="5" borderId="105" xfId="1" applyFont="1" applyFill="1" applyBorder="1" applyAlignment="1">
      <alignment horizontal="center" vertical="center" wrapText="1"/>
    </xf>
    <xf numFmtId="0" fontId="2" fillId="5" borderId="106" xfId="1" applyFont="1" applyFill="1" applyBorder="1" applyAlignment="1">
      <alignment horizontal="center" vertical="center" wrapText="1"/>
    </xf>
    <xf numFmtId="0" fontId="2" fillId="5" borderId="115" xfId="1" applyFont="1" applyFill="1" applyBorder="1" applyAlignment="1">
      <alignment horizontal="center" vertical="center"/>
    </xf>
    <xf numFmtId="0" fontId="2" fillId="5" borderId="188" xfId="1" applyFont="1" applyFill="1" applyBorder="1" applyAlignment="1">
      <alignment horizontal="center" vertical="center" wrapText="1"/>
    </xf>
    <xf numFmtId="0" fontId="2" fillId="5" borderId="130" xfId="1" applyFont="1" applyFill="1" applyBorder="1" applyAlignment="1">
      <alignment horizontal="center" vertical="center"/>
    </xf>
    <xf numFmtId="0" fontId="2" fillId="5" borderId="101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0" xfId="1" applyNumberFormat="1" applyFont="1" applyFill="1" applyBorder="1" applyAlignment="1">
      <alignment horizontal="center" vertical="center" wrapText="1"/>
    </xf>
    <xf numFmtId="164" fontId="6" fillId="7" borderId="8" xfId="1" applyNumberFormat="1" applyFont="1" applyFill="1" applyBorder="1" applyAlignment="1">
      <alignment horizontal="center" vertical="center" wrapText="1"/>
    </xf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3" fontId="4" fillId="4" borderId="145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34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32" xfId="25" applyNumberFormat="1" applyFont="1" applyFill="1" applyBorder="1" applyAlignment="1" applyProtection="1">
      <alignment horizontal="center" vertical="center" wrapText="1"/>
      <protection locked="0"/>
    </xf>
    <xf numFmtId="164" fontId="4" fillId="4" borderId="140" xfId="25" applyNumberFormat="1" applyFont="1" applyFill="1" applyBorder="1" applyAlignment="1" applyProtection="1">
      <alignment horizontal="center" vertical="center" wrapText="1"/>
      <protection locked="0"/>
    </xf>
    <xf numFmtId="3" fontId="4" fillId="0" borderId="146" xfId="1" applyNumberFormat="1" applyFont="1" applyBorder="1" applyAlignment="1" applyProtection="1">
      <alignment horizontal="center" vertical="center" wrapText="1"/>
      <protection locked="0"/>
    </xf>
    <xf numFmtId="3" fontId="4" fillId="0" borderId="133" xfId="1" applyNumberFormat="1" applyFont="1" applyBorder="1" applyAlignment="1" applyProtection="1">
      <alignment horizontal="center" vertical="center" wrapText="1"/>
      <protection locked="0"/>
    </xf>
    <xf numFmtId="0" fontId="2" fillId="5" borderId="105" xfId="1" applyFont="1" applyFill="1" applyBorder="1" applyAlignment="1" applyProtection="1">
      <alignment horizontal="center" vertical="center"/>
    </xf>
    <xf numFmtId="0" fontId="2" fillId="5" borderId="106" xfId="1" applyFont="1" applyFill="1" applyBorder="1" applyAlignment="1" applyProtection="1">
      <alignment horizontal="center" vertical="center"/>
    </xf>
    <xf numFmtId="0" fontId="2" fillId="5" borderId="132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/>
    </xf>
    <xf numFmtId="0" fontId="2" fillId="5" borderId="105" xfId="1" applyFont="1" applyFill="1" applyBorder="1" applyAlignment="1" applyProtection="1">
      <alignment horizontal="center" vertical="center" wrapText="1"/>
    </xf>
    <xf numFmtId="0" fontId="2" fillId="5" borderId="106" xfId="1" applyFont="1" applyFill="1" applyBorder="1" applyAlignment="1" applyProtection="1">
      <alignment horizontal="center" vertical="center" wrapText="1"/>
    </xf>
    <xf numFmtId="3" fontId="4" fillId="4" borderId="132" xfId="1" applyNumberFormat="1" applyFont="1" applyFill="1" applyBorder="1" applyAlignment="1" applyProtection="1">
      <alignment horizontal="center" vertical="center" wrapText="1"/>
    </xf>
    <xf numFmtId="0" fontId="2" fillId="19" borderId="101" xfId="1" applyFont="1" applyFill="1" applyBorder="1" applyAlignment="1" applyProtection="1">
      <alignment horizontal="center" vertical="center"/>
    </xf>
    <xf numFmtId="0" fontId="2" fillId="19" borderId="0" xfId="1" applyFont="1" applyFill="1" applyBorder="1" applyAlignment="1" applyProtection="1">
      <alignment horizontal="center" vertical="center"/>
    </xf>
    <xf numFmtId="164" fontId="4" fillId="4" borderId="132" xfId="25" applyNumberFormat="1" applyFont="1" applyFill="1" applyBorder="1" applyAlignment="1" applyProtection="1">
      <alignment horizontal="center" vertical="center" wrapText="1"/>
    </xf>
    <xf numFmtId="3" fontId="4" fillId="0" borderId="132" xfId="1" applyNumberFormat="1" applyFont="1" applyBorder="1" applyAlignment="1" applyProtection="1">
      <alignment horizontal="center" vertical="center" wrapText="1"/>
    </xf>
    <xf numFmtId="164" fontId="6" fillId="3" borderId="132" xfId="1" applyNumberFormat="1" applyFont="1" applyFill="1" applyBorder="1" applyAlignment="1" applyProtection="1">
      <alignment horizontal="center" vertical="center" wrapText="1"/>
    </xf>
    <xf numFmtId="164" fontId="6" fillId="7" borderId="132" xfId="1" applyNumberFormat="1" applyFont="1" applyFill="1" applyBorder="1" applyAlignment="1" applyProtection="1">
      <alignment horizontal="center" vertical="center" wrapText="1"/>
    </xf>
    <xf numFmtId="0" fontId="2" fillId="5" borderId="101" xfId="1" applyFont="1" applyFill="1" applyBorder="1" applyAlignment="1" applyProtection="1">
      <alignment horizontal="center" vertical="center"/>
    </xf>
    <xf numFmtId="0" fontId="2" fillId="5" borderId="0" xfId="1" applyFont="1" applyFill="1" applyBorder="1" applyAlignment="1" applyProtection="1">
      <alignment horizontal="center" vertical="center"/>
    </xf>
    <xf numFmtId="3" fontId="3" fillId="2" borderId="132" xfId="1" applyNumberFormat="1" applyFont="1" applyFill="1" applyBorder="1" applyAlignment="1" applyProtection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22" fillId="0" borderId="94" xfId="4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5" borderId="21" xfId="1" applyFont="1" applyFill="1" applyBorder="1" applyAlignment="1">
      <alignment horizontal="center" vertical="center"/>
    </xf>
    <xf numFmtId="0" fontId="4" fillId="0" borderId="89" xfId="1" applyFont="1" applyBorder="1" applyAlignment="1">
      <alignment vertical="center" wrapText="1"/>
    </xf>
    <xf numFmtId="0" fontId="4" fillId="0" borderId="137" xfId="1" applyFont="1" applyBorder="1" applyAlignment="1">
      <alignment vertical="center" wrapText="1"/>
    </xf>
    <xf numFmtId="0" fontId="4" fillId="0" borderId="160" xfId="1" applyFont="1" applyBorder="1" applyAlignment="1">
      <alignment vertical="center" wrapText="1"/>
    </xf>
    <xf numFmtId="0" fontId="4" fillId="0" borderId="62" xfId="1" applyFont="1" applyBorder="1" applyAlignment="1">
      <alignment vertical="center" wrapText="1"/>
    </xf>
    <xf numFmtId="0" fontId="4" fillId="0" borderId="140" xfId="1" applyFont="1" applyBorder="1" applyAlignment="1">
      <alignment vertical="center" wrapText="1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5" builtinId="5"/>
    <cellStyle name="Porcentagem 2" xfId="2" xr:uid="{00000000-0005-0000-0000-000016000000}"/>
    <cellStyle name="Vírgula" xfId="24" builtinId="3"/>
    <cellStyle name="Vírgula 2" xfId="3" xr:uid="{00000000-0005-0000-0000-000018000000}"/>
    <cellStyle name="Vírgula 3" xfId="5" xr:uid="{00000000-0005-0000-0000-000019000000}"/>
  </cellStyles>
  <dxfs count="4"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CC66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809625</xdr:colOff>
      <xdr:row>3</xdr:row>
      <xdr:rowOff>17844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7150"/>
          <a:ext cx="638175" cy="6083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95250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7531096-1D5B-461E-BC7E-5A92C9A2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"/>
          <a:ext cx="638175" cy="60839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0</xdr:col>
      <xdr:colOff>781050</xdr:colOff>
      <xdr:row>3</xdr:row>
      <xdr:rowOff>27369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638175" cy="6083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66675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D367F12-2384-468F-A3C2-B1F3C980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638175" cy="60839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857250</xdr:colOff>
      <xdr:row>3</xdr:row>
      <xdr:rowOff>55944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0"/>
          <a:ext cx="638175" cy="6083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114300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E81DD153-E9A1-4F0E-8915-9F3B49470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638175" cy="60839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733425</xdr:colOff>
      <xdr:row>3</xdr:row>
      <xdr:rowOff>46419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5725"/>
          <a:ext cx="638175" cy="6083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104775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1D41BA35-0160-4F2E-84C1-9992EFE9E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4775"/>
          <a:ext cx="638175" cy="608394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0</xdr:col>
      <xdr:colOff>790575</xdr:colOff>
      <xdr:row>3</xdr:row>
      <xdr:rowOff>65469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638175" cy="6083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104775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8BE3FC3B-4D73-42AC-ACC5-2738A842E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638175" cy="6083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771525</xdr:colOff>
      <xdr:row>3</xdr:row>
      <xdr:rowOff>36894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6200"/>
          <a:ext cx="638175" cy="6083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0</xdr:col>
      <xdr:colOff>819150</xdr:colOff>
      <xdr:row>3</xdr:row>
      <xdr:rowOff>46419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638175" cy="6083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85725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F8C547F5-22AD-4D1D-A97B-164D355A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638175" cy="608394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800100</xdr:colOff>
      <xdr:row>3</xdr:row>
      <xdr:rowOff>55944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95250"/>
          <a:ext cx="638175" cy="60839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85725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64D0CC61-1BB2-49E0-98F9-24FB0D500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638175" cy="608394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0</xdr:col>
      <xdr:colOff>733425</xdr:colOff>
      <xdr:row>3</xdr:row>
      <xdr:rowOff>103569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42875"/>
          <a:ext cx="638175" cy="60839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13546B7A-4920-4B7C-9483-518B5ABD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638175" cy="608394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0</xdr:col>
      <xdr:colOff>781050</xdr:colOff>
      <xdr:row>3</xdr:row>
      <xdr:rowOff>65469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638175" cy="60839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114300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7623E219-788A-415F-9A9A-A9844A860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638175" cy="60839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142875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4F56CE15-6F89-44F1-B583-570E53F90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42875"/>
          <a:ext cx="638175" cy="60839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790575</xdr:colOff>
      <xdr:row>3</xdr:row>
      <xdr:rowOff>17844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638175" cy="6083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57150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8C3C274-7653-48D0-974C-9FD3B5E0A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638175" cy="60839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790575</xdr:colOff>
      <xdr:row>3</xdr:row>
      <xdr:rowOff>46419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5725"/>
          <a:ext cx="638175" cy="608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B680ED26-E681-46AB-9FB6-8BA06115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638175" cy="60839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809625</xdr:colOff>
      <xdr:row>3</xdr:row>
      <xdr:rowOff>65469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04775"/>
          <a:ext cx="638175" cy="6083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95250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49C43C39-EF05-4148-8E6C-059AAF42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638175" cy="6083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5" customWidth="1"/>
    <col min="2" max="2" width="11.42578125" style="15" bestFit="1" customWidth="1"/>
    <col min="3" max="3" width="10.5703125" style="15" bestFit="1" customWidth="1"/>
    <col min="4" max="4" width="11.42578125" style="15" bestFit="1" customWidth="1"/>
    <col min="5" max="5" width="10.5703125" style="15" bestFit="1" customWidth="1"/>
    <col min="6" max="6" width="11.42578125" style="15" bestFit="1" customWidth="1"/>
    <col min="7" max="7" width="10.5703125" style="15" bestFit="1" customWidth="1"/>
    <col min="8" max="8" width="11.42578125" style="15" bestFit="1" customWidth="1"/>
    <col min="9" max="9" width="10.5703125" style="15" bestFit="1" customWidth="1"/>
    <col min="10" max="10" width="11.42578125" style="15" bestFit="1" customWidth="1"/>
    <col min="11" max="11" width="10.5703125" style="15" bestFit="1" customWidth="1"/>
    <col min="12" max="12" width="11.42578125" style="15" bestFit="1" customWidth="1"/>
    <col min="13" max="13" width="10.5703125" style="15" bestFit="1" customWidth="1"/>
    <col min="14" max="14" width="11.42578125" style="15" bestFit="1" customWidth="1"/>
    <col min="15" max="15" width="10.5703125" style="15" bestFit="1" customWidth="1"/>
    <col min="16" max="16" width="11.42578125" style="15" bestFit="1" customWidth="1"/>
    <col min="17" max="17" width="10.5703125" style="15" bestFit="1" customWidth="1"/>
    <col min="18" max="18" width="11.42578125" style="15" bestFit="1" customWidth="1"/>
    <col min="19" max="19" width="10.5703125" style="15" bestFit="1" customWidth="1"/>
    <col min="20" max="20" width="11.42578125" style="15" bestFit="1" customWidth="1"/>
    <col min="21" max="21" width="10.5703125" style="15" bestFit="1" customWidth="1"/>
    <col min="22" max="22" width="11.42578125" style="15" bestFit="1" customWidth="1"/>
    <col min="23" max="23" width="10.5703125" style="15" bestFit="1" customWidth="1"/>
    <col min="24" max="24" width="11.42578125" style="15" bestFit="1" customWidth="1"/>
    <col min="25" max="25" width="10.5703125" style="15" bestFit="1" customWidth="1"/>
    <col min="26" max="16384" width="8.85546875" style="15"/>
  </cols>
  <sheetData>
    <row r="1" spans="1:25" ht="19.5" thickBot="1" x14ac:dyDescent="0.3">
      <c r="A1" s="788" t="s">
        <v>132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</row>
    <row r="2" spans="1:25" ht="19.5" customHeight="1" thickBot="1" x14ac:dyDescent="0.3">
      <c r="A2" s="790" t="s">
        <v>234</v>
      </c>
      <c r="B2" s="791"/>
      <c r="C2" s="791"/>
      <c r="D2" s="791"/>
      <c r="E2" s="791"/>
      <c r="F2" s="791"/>
      <c r="G2" s="791"/>
      <c r="H2" s="791"/>
      <c r="I2" s="791"/>
      <c r="J2" s="791"/>
      <c r="K2" s="792"/>
      <c r="L2" s="797" t="s">
        <v>131</v>
      </c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6"/>
    </row>
    <row r="3" spans="1:25" ht="15.75" thickBot="1" x14ac:dyDescent="0.3">
      <c r="A3" s="793" t="s">
        <v>16</v>
      </c>
      <c r="B3" s="795">
        <v>42248</v>
      </c>
      <c r="C3" s="796"/>
      <c r="D3" s="795">
        <v>42278</v>
      </c>
      <c r="E3" s="796"/>
      <c r="F3" s="795">
        <v>42309</v>
      </c>
      <c r="G3" s="796"/>
      <c r="H3" s="795">
        <v>42339</v>
      </c>
      <c r="I3" s="796"/>
      <c r="J3" s="795">
        <v>42370</v>
      </c>
      <c r="K3" s="796"/>
      <c r="L3" s="795">
        <v>42401</v>
      </c>
      <c r="M3" s="796"/>
      <c r="N3" s="795">
        <v>42430</v>
      </c>
      <c r="O3" s="796"/>
      <c r="P3" s="795">
        <v>42461</v>
      </c>
      <c r="Q3" s="796"/>
      <c r="R3" s="795">
        <v>42491</v>
      </c>
      <c r="S3" s="796"/>
      <c r="T3" s="795">
        <v>42522</v>
      </c>
      <c r="U3" s="796"/>
      <c r="V3" s="795">
        <v>42552</v>
      </c>
      <c r="W3" s="796"/>
      <c r="X3" s="795">
        <v>42583</v>
      </c>
      <c r="Y3" s="796"/>
    </row>
    <row r="4" spans="1:25" ht="57.75" customHeight="1" thickBot="1" x14ac:dyDescent="0.3">
      <c r="A4" s="794"/>
      <c r="B4" s="187" t="s">
        <v>17</v>
      </c>
      <c r="C4" s="188" t="s">
        <v>18</v>
      </c>
      <c r="D4" s="187" t="s">
        <v>17</v>
      </c>
      <c r="E4" s="188" t="s">
        <v>18</v>
      </c>
      <c r="F4" s="187" t="s">
        <v>17</v>
      </c>
      <c r="G4" s="188" t="s">
        <v>18</v>
      </c>
      <c r="H4" s="187" t="s">
        <v>17</v>
      </c>
      <c r="I4" s="188" t="s">
        <v>18</v>
      </c>
      <c r="J4" s="187" t="s">
        <v>17</v>
      </c>
      <c r="K4" s="188" t="s">
        <v>18</v>
      </c>
      <c r="L4" s="187" t="s">
        <v>17</v>
      </c>
      <c r="M4" s="188" t="s">
        <v>18</v>
      </c>
      <c r="N4" s="187" t="s">
        <v>17</v>
      </c>
      <c r="O4" s="188" t="s">
        <v>18</v>
      </c>
      <c r="P4" s="187" t="s">
        <v>17</v>
      </c>
      <c r="Q4" s="188" t="s">
        <v>18</v>
      </c>
      <c r="R4" s="187" t="s">
        <v>17</v>
      </c>
      <c r="S4" s="188" t="s">
        <v>18</v>
      </c>
      <c r="T4" s="187" t="s">
        <v>17</v>
      </c>
      <c r="U4" s="188" t="s">
        <v>18</v>
      </c>
      <c r="V4" s="187" t="s">
        <v>17</v>
      </c>
      <c r="W4" s="188" t="s">
        <v>18</v>
      </c>
      <c r="X4" s="187" t="s">
        <v>17</v>
      </c>
      <c r="Y4" s="188" t="s">
        <v>18</v>
      </c>
    </row>
    <row r="5" spans="1:25" ht="33" customHeight="1" thickTop="1" x14ac:dyDescent="0.25">
      <c r="A5" s="172" t="s">
        <v>19</v>
      </c>
      <c r="B5" s="175"/>
      <c r="C5" s="176"/>
      <c r="D5" s="175"/>
      <c r="E5" s="176"/>
      <c r="F5" s="175"/>
      <c r="G5" s="176"/>
      <c r="H5" s="287" t="s">
        <v>137</v>
      </c>
      <c r="I5" s="181">
        <f>IF(H5="SIM",20,0)</f>
        <v>20</v>
      </c>
      <c r="J5" s="287" t="s">
        <v>137</v>
      </c>
      <c r="K5" s="186">
        <f>IF(J5="SIM",20,0)</f>
        <v>20</v>
      </c>
      <c r="L5" s="287" t="s">
        <v>137</v>
      </c>
      <c r="M5" s="181">
        <f>IF(L5="SIM",20,0)</f>
        <v>20</v>
      </c>
      <c r="N5" s="180" t="s">
        <v>137</v>
      </c>
      <c r="O5" s="181">
        <f>IF(N5="SIM",20,0)</f>
        <v>20</v>
      </c>
      <c r="P5" s="180" t="s">
        <v>137</v>
      </c>
      <c r="Q5" s="183">
        <f>IF(P5="SIM",40,0)</f>
        <v>40</v>
      </c>
      <c r="R5" s="191" t="s">
        <v>137</v>
      </c>
      <c r="S5" s="181">
        <f>IF(R5="SIM",20,0)</f>
        <v>20</v>
      </c>
      <c r="T5" s="191" t="s">
        <v>137</v>
      </c>
      <c r="U5" s="181">
        <f>IF(T5="SIM",20,0)</f>
        <v>20</v>
      </c>
      <c r="V5" s="180" t="s">
        <v>137</v>
      </c>
      <c r="W5" s="181">
        <f>IF(V5="SIM",20,0)</f>
        <v>20</v>
      </c>
      <c r="X5" s="180"/>
      <c r="Y5" s="181">
        <f>IF(X5="SIM",20,0)</f>
        <v>0</v>
      </c>
    </row>
    <row r="6" spans="1:25" ht="33" customHeight="1" x14ac:dyDescent="0.25">
      <c r="A6" s="173" t="s">
        <v>20</v>
      </c>
      <c r="B6" s="177"/>
      <c r="C6" s="128"/>
      <c r="D6" s="177"/>
      <c r="E6" s="128"/>
      <c r="F6" s="177"/>
      <c r="G6" s="128"/>
      <c r="H6" s="182" t="s">
        <v>137</v>
      </c>
      <c r="I6" s="183">
        <f>IF(H6="SIM",40,0)</f>
        <v>40</v>
      </c>
      <c r="J6" s="177"/>
      <c r="K6" s="128"/>
      <c r="L6" s="177"/>
      <c r="M6" s="128"/>
      <c r="N6" s="182" t="s">
        <v>137</v>
      </c>
      <c r="O6" s="183">
        <f>IF(N6="SIM",40,0)</f>
        <v>40</v>
      </c>
      <c r="P6" s="177"/>
      <c r="Q6" s="190"/>
      <c r="R6" s="177"/>
      <c r="S6" s="190"/>
      <c r="T6" s="189" t="s">
        <v>137</v>
      </c>
      <c r="U6" s="181">
        <f>IF(T6="SIM",40,0)</f>
        <v>40</v>
      </c>
      <c r="V6" s="177"/>
      <c r="W6" s="190"/>
      <c r="X6" s="177"/>
      <c r="Y6" s="190"/>
    </row>
    <row r="7" spans="1:25" ht="33" customHeight="1" x14ac:dyDescent="0.25">
      <c r="A7" s="173" t="s">
        <v>21</v>
      </c>
      <c r="B7" s="177"/>
      <c r="C7" s="128"/>
      <c r="D7" s="177"/>
      <c r="E7" s="128"/>
      <c r="F7" s="177"/>
      <c r="G7" s="128"/>
      <c r="H7" s="177"/>
      <c r="I7" s="184"/>
      <c r="J7" s="177"/>
      <c r="K7" s="128"/>
      <c r="L7" s="177"/>
      <c r="M7" s="128"/>
      <c r="N7" s="177"/>
      <c r="O7" s="128"/>
      <c r="P7" s="177"/>
      <c r="Q7" s="190"/>
      <c r="R7" s="189" t="s">
        <v>137</v>
      </c>
      <c r="S7" s="183">
        <f>IF(R7="SIM",60,0)</f>
        <v>60</v>
      </c>
      <c r="T7" s="177"/>
      <c r="U7" s="190"/>
      <c r="V7" s="177"/>
      <c r="W7" s="190"/>
      <c r="X7" s="177"/>
      <c r="Y7" s="190"/>
    </row>
    <row r="8" spans="1:25" ht="33" customHeight="1" x14ac:dyDescent="0.25">
      <c r="A8" s="173" t="s">
        <v>22</v>
      </c>
      <c r="B8" s="177"/>
      <c r="C8" s="128"/>
      <c r="D8" s="177"/>
      <c r="E8" s="128"/>
      <c r="F8" s="177"/>
      <c r="G8" s="128"/>
      <c r="H8" s="177"/>
      <c r="I8" s="184"/>
      <c r="J8" s="177"/>
      <c r="K8" s="128"/>
      <c r="L8" s="182" t="s">
        <v>137</v>
      </c>
      <c r="M8" s="127">
        <f>IF(L8="SIM",60,0)</f>
        <v>60</v>
      </c>
      <c r="N8" s="177"/>
      <c r="O8" s="128"/>
      <c r="P8" s="177"/>
      <c r="Q8" s="190"/>
      <c r="R8" s="177"/>
      <c r="S8" s="190"/>
      <c r="T8" s="177"/>
      <c r="U8" s="190"/>
      <c r="V8" s="177"/>
      <c r="W8" s="190"/>
      <c r="X8" s="189"/>
      <c r="Y8" s="181">
        <f>IF(X8="SIM",60,0)</f>
        <v>0</v>
      </c>
    </row>
    <row r="9" spans="1:25" ht="33" customHeight="1" x14ac:dyDescent="0.25">
      <c r="A9" s="173" t="s">
        <v>23</v>
      </c>
      <c r="B9" s="177"/>
      <c r="C9" s="128"/>
      <c r="D9" s="177"/>
      <c r="E9" s="128"/>
      <c r="F9" s="177"/>
      <c r="G9" s="128"/>
      <c r="H9" s="177"/>
      <c r="I9" s="184"/>
      <c r="J9" s="287" t="s">
        <v>137</v>
      </c>
      <c r="K9" s="127">
        <f>IF(J9="SIM",60,0)</f>
        <v>60</v>
      </c>
      <c r="L9" s="177"/>
      <c r="M9" s="128"/>
      <c r="N9" s="177"/>
      <c r="O9" s="128"/>
      <c r="P9" s="189" t="s">
        <v>137</v>
      </c>
      <c r="Q9" s="183">
        <f>IF(P9="SIM",40,0)</f>
        <v>40</v>
      </c>
      <c r="R9" s="177"/>
      <c r="S9" s="190"/>
      <c r="T9" s="177"/>
      <c r="U9" s="190"/>
      <c r="V9" s="189" t="s">
        <v>137</v>
      </c>
      <c r="W9" s="181">
        <f>IF(V9="SIM",60,0)</f>
        <v>60</v>
      </c>
      <c r="X9" s="177"/>
      <c r="Y9" s="190"/>
    </row>
    <row r="10" spans="1:25" ht="33" customHeight="1" x14ac:dyDescent="0.25">
      <c r="A10" s="173" t="s">
        <v>24</v>
      </c>
      <c r="B10" s="177"/>
      <c r="C10" s="128"/>
      <c r="D10" s="177"/>
      <c r="E10" s="128"/>
      <c r="F10" s="177"/>
      <c r="G10" s="128"/>
      <c r="H10" s="287" t="s">
        <v>137</v>
      </c>
      <c r="I10" s="183">
        <f>IF(H10="SIM",20,0)</f>
        <v>20</v>
      </c>
      <c r="J10" s="177"/>
      <c r="K10" s="128"/>
      <c r="L10" s="177"/>
      <c r="M10" s="128"/>
      <c r="N10" s="189" t="s">
        <v>137</v>
      </c>
      <c r="O10" s="183">
        <f>IF(N10="SIM",40,0)</f>
        <v>40</v>
      </c>
      <c r="P10" s="177"/>
      <c r="Q10" s="190"/>
      <c r="R10" s="177"/>
      <c r="S10" s="190"/>
      <c r="T10" s="189" t="s">
        <v>137</v>
      </c>
      <c r="U10" s="181">
        <f>IF(T10="SIM",40,0)</f>
        <v>40</v>
      </c>
      <c r="V10" s="177"/>
      <c r="W10" s="190"/>
      <c r="X10" s="177"/>
      <c r="Y10" s="190"/>
    </row>
    <row r="11" spans="1:25" ht="33" customHeight="1" x14ac:dyDescent="0.25">
      <c r="A11" s="173" t="s">
        <v>25</v>
      </c>
      <c r="B11" s="177"/>
      <c r="C11" s="128"/>
      <c r="D11" s="177"/>
      <c r="E11" s="128"/>
      <c r="F11" s="177"/>
      <c r="G11" s="128"/>
      <c r="H11" s="287" t="s">
        <v>137</v>
      </c>
      <c r="I11" s="183">
        <f>IF(H11="SIM",20,0)</f>
        <v>20</v>
      </c>
      <c r="J11" s="177"/>
      <c r="K11" s="128"/>
      <c r="L11" s="182" t="s">
        <v>137</v>
      </c>
      <c r="M11" s="181">
        <f>IF(L11="SIM",20,0)</f>
        <v>20</v>
      </c>
      <c r="N11" s="177"/>
      <c r="O11" s="128"/>
      <c r="P11" s="177"/>
      <c r="Q11" s="190"/>
      <c r="R11" s="189" t="s">
        <v>137</v>
      </c>
      <c r="S11" s="181">
        <f>IF(R11="SIM",20,0)</f>
        <v>20</v>
      </c>
      <c r="T11" s="177"/>
      <c r="U11" s="190"/>
      <c r="V11" s="177"/>
      <c r="W11" s="190"/>
      <c r="X11" s="189"/>
      <c r="Y11" s="181">
        <f>IF(X11="SIM",20,0)</f>
        <v>0</v>
      </c>
    </row>
    <row r="12" spans="1:25" ht="33" customHeight="1" x14ac:dyDescent="0.25">
      <c r="A12" s="173" t="s">
        <v>26</v>
      </c>
      <c r="B12" s="177"/>
      <c r="C12" s="128"/>
      <c r="D12" s="177"/>
      <c r="E12" s="128"/>
      <c r="F12" s="177"/>
      <c r="G12" s="128"/>
      <c r="H12" s="177"/>
      <c r="I12" s="184"/>
      <c r="J12" s="182"/>
      <c r="K12" s="127">
        <f>IF(J12="SIM",20,0)</f>
        <v>0</v>
      </c>
      <c r="L12" s="177"/>
      <c r="M12" s="128"/>
      <c r="N12" s="177"/>
      <c r="O12" s="128"/>
      <c r="P12" s="189" t="s">
        <v>137</v>
      </c>
      <c r="Q12" s="181">
        <f>IF(P12="SIM",20,0)</f>
        <v>20</v>
      </c>
      <c r="R12" s="177"/>
      <c r="S12" s="190"/>
      <c r="T12" s="177"/>
      <c r="U12" s="190"/>
      <c r="V12" s="189" t="s">
        <v>137</v>
      </c>
      <c r="W12" s="181">
        <f>IF(V12="SIM",20,0)</f>
        <v>20</v>
      </c>
      <c r="X12" s="177"/>
      <c r="Y12" s="190"/>
    </row>
    <row r="13" spans="1:25" ht="23.25" customHeight="1" thickBot="1" x14ac:dyDescent="0.3">
      <c r="A13" s="174" t="s">
        <v>2</v>
      </c>
      <c r="B13" s="178"/>
      <c r="C13" s="179"/>
      <c r="D13" s="178"/>
      <c r="E13" s="179"/>
      <c r="F13" s="178"/>
      <c r="G13" s="179"/>
      <c r="H13" s="178"/>
      <c r="I13" s="185">
        <f>SUM(I5:I12)</f>
        <v>100</v>
      </c>
      <c r="J13" s="178"/>
      <c r="K13" s="129">
        <f>SUM(K5:K12)</f>
        <v>80</v>
      </c>
      <c r="L13" s="178"/>
      <c r="M13" s="185">
        <f>SUM(M5:M12)</f>
        <v>100</v>
      </c>
      <c r="N13" s="178"/>
      <c r="O13" s="185">
        <f>SUM(O5:O12)</f>
        <v>100</v>
      </c>
      <c r="P13" s="178"/>
      <c r="Q13" s="185">
        <f>SUM(Q5:Q12)</f>
        <v>100</v>
      </c>
      <c r="R13" s="178"/>
      <c r="S13" s="185">
        <f>SUM(S5:S12)</f>
        <v>100</v>
      </c>
      <c r="T13" s="178"/>
      <c r="U13" s="185">
        <f>SUM(U5:U12)</f>
        <v>100</v>
      </c>
      <c r="V13" s="178"/>
      <c r="W13" s="185">
        <f>SUM(W5:W12)</f>
        <v>100</v>
      </c>
      <c r="X13" s="178"/>
      <c r="Y13" s="185">
        <f>SUM(Y5:Y12)</f>
        <v>0</v>
      </c>
    </row>
    <row r="15" spans="1:25" ht="28.5" x14ac:dyDescent="0.25">
      <c r="A15" s="16" t="s">
        <v>27</v>
      </c>
    </row>
    <row r="16" spans="1:25" x14ac:dyDescent="0.25">
      <c r="A16" s="16" t="s">
        <v>28</v>
      </c>
    </row>
    <row r="18" spans="1:1" x14ac:dyDescent="0.25">
      <c r="A18" s="17" t="s">
        <v>29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4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R44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9.42578125" customWidth="1"/>
    <col min="10" max="10" width="7.85546875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9.7109375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347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70" t="s">
        <v>8</v>
      </c>
      <c r="B6" s="71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72" t="s">
        <v>158</v>
      </c>
      <c r="B7" s="6">
        <v>3600</v>
      </c>
      <c r="C7" s="7">
        <v>2723</v>
      </c>
      <c r="D7" s="11">
        <f>((C7/$B7))-1</f>
        <v>-0.24361111111111111</v>
      </c>
      <c r="E7" s="7">
        <v>2323</v>
      </c>
      <c r="F7" s="11">
        <f>((E7/$B7))-1</f>
        <v>-0.35472222222222227</v>
      </c>
      <c r="G7" s="7">
        <v>2913</v>
      </c>
      <c r="H7" s="11">
        <f>((G7/$B7))-1</f>
        <v>-0.1908333333333333</v>
      </c>
      <c r="I7" s="9">
        <f t="shared" ref="I7:I16" si="0">C7+E7+G7</f>
        <v>7959</v>
      </c>
      <c r="J7" s="12">
        <f>((I7/(3*$B7)))-1</f>
        <v>-0.2630555555555556</v>
      </c>
      <c r="K7" s="7">
        <v>2756</v>
      </c>
      <c r="L7" s="11">
        <f>((K7/$B7))-1</f>
        <v>-0.23444444444444446</v>
      </c>
      <c r="M7" s="7">
        <v>2921</v>
      </c>
      <c r="N7" s="11">
        <f>((M7/$B7))-1</f>
        <v>-0.18861111111111106</v>
      </c>
      <c r="O7" s="7">
        <v>2793</v>
      </c>
      <c r="P7" s="11">
        <f>((O7/$B7))-1</f>
        <v>-0.22416666666666663</v>
      </c>
      <c r="Q7" s="9">
        <f t="shared" ref="Q7:Q16" si="1">K7+M7+O7</f>
        <v>8470</v>
      </c>
      <c r="R7" s="12">
        <f>((Q7/(3*$B7)))-1</f>
        <v>-0.21574074074074079</v>
      </c>
    </row>
    <row r="8" spans="1:18" x14ac:dyDescent="0.25">
      <c r="A8" s="72" t="s">
        <v>159</v>
      </c>
      <c r="B8" s="73">
        <v>1248</v>
      </c>
      <c r="C8" s="74">
        <v>730</v>
      </c>
      <c r="D8" s="11">
        <f t="shared" ref="D8:D16" si="2">((C8/$B8))-1</f>
        <v>-0.41506410256410253</v>
      </c>
      <c r="E8" s="74">
        <v>580</v>
      </c>
      <c r="F8" s="11">
        <f t="shared" ref="F8:F16" si="3">((E8/$B8))-1</f>
        <v>-0.53525641025641024</v>
      </c>
      <c r="G8" s="74">
        <v>856</v>
      </c>
      <c r="H8" s="11">
        <f t="shared" ref="H8:H16" si="4">((G8/$B8))-1</f>
        <v>-0.3141025641025641</v>
      </c>
      <c r="I8" s="9">
        <f t="shared" si="0"/>
        <v>2166</v>
      </c>
      <c r="J8" s="12">
        <f t="shared" ref="J8:J16" si="5">((I8/(3*$B8)))-1</f>
        <v>-0.42147435897435892</v>
      </c>
      <c r="K8" s="74">
        <v>610</v>
      </c>
      <c r="L8" s="11">
        <f t="shared" ref="L8:L16" si="6">((K8/$B8))-1</f>
        <v>-0.51121794871794868</v>
      </c>
      <c r="M8" s="74">
        <v>1094</v>
      </c>
      <c r="N8" s="11">
        <f t="shared" ref="N8:N16" si="7">((M8/$B8))-1</f>
        <v>-0.1233974358974359</v>
      </c>
      <c r="O8" s="74">
        <v>754</v>
      </c>
      <c r="P8" s="11">
        <f t="shared" ref="P8:P16" si="8">((O8/$B8))-1</f>
        <v>-0.39583333333333337</v>
      </c>
      <c r="Q8" s="9">
        <f t="shared" si="1"/>
        <v>2458</v>
      </c>
      <c r="R8" s="12">
        <f t="shared" ref="R8:R17" si="9">((Q8/(3*$B8)))-1</f>
        <v>-0.34348290598290598</v>
      </c>
    </row>
    <row r="9" spans="1:18" x14ac:dyDescent="0.25">
      <c r="A9" s="72" t="s">
        <v>171</v>
      </c>
      <c r="B9" s="73">
        <v>469</v>
      </c>
      <c r="C9" s="74">
        <v>455</v>
      </c>
      <c r="D9" s="11">
        <f t="shared" si="2"/>
        <v>-2.9850746268656692E-2</v>
      </c>
      <c r="E9" s="74">
        <v>442</v>
      </c>
      <c r="F9" s="11">
        <f t="shared" si="3"/>
        <v>-5.7569296375266532E-2</v>
      </c>
      <c r="G9" s="74">
        <v>404</v>
      </c>
      <c r="H9" s="11">
        <f t="shared" si="4"/>
        <v>-0.13859275053304909</v>
      </c>
      <c r="I9" s="9">
        <f t="shared" si="0"/>
        <v>1301</v>
      </c>
      <c r="J9" s="12">
        <f t="shared" si="5"/>
        <v>-7.5337597725657401E-2</v>
      </c>
      <c r="K9" s="74">
        <v>398</v>
      </c>
      <c r="L9" s="11">
        <f t="shared" si="6"/>
        <v>-0.15138592750533053</v>
      </c>
      <c r="M9" s="74">
        <v>591</v>
      </c>
      <c r="N9" s="11">
        <f t="shared" si="7"/>
        <v>0.26012793176972271</v>
      </c>
      <c r="O9" s="74">
        <v>367</v>
      </c>
      <c r="P9" s="11">
        <f t="shared" si="8"/>
        <v>-0.21748400852878469</v>
      </c>
      <c r="Q9" s="9">
        <f t="shared" si="1"/>
        <v>1356</v>
      </c>
      <c r="R9" s="12">
        <f t="shared" si="9"/>
        <v>-3.6247334754797467E-2</v>
      </c>
    </row>
    <row r="10" spans="1:18" ht="24" x14ac:dyDescent="0.25">
      <c r="A10" s="852" t="s">
        <v>208</v>
      </c>
      <c r="B10" s="316">
        <v>192</v>
      </c>
      <c r="C10" s="307">
        <v>143</v>
      </c>
      <c r="D10" s="47">
        <f t="shared" si="2"/>
        <v>-0.25520833333333337</v>
      </c>
      <c r="E10" s="307">
        <v>250</v>
      </c>
      <c r="F10" s="47">
        <f t="shared" si="3"/>
        <v>0.30208333333333326</v>
      </c>
      <c r="G10" s="307">
        <v>211</v>
      </c>
      <c r="H10" s="47">
        <f t="shared" si="4"/>
        <v>9.8958333333333259E-2</v>
      </c>
      <c r="I10" s="305">
        <f t="shared" si="0"/>
        <v>604</v>
      </c>
      <c r="J10" s="132">
        <f t="shared" si="5"/>
        <v>4.861111111111116E-2</v>
      </c>
      <c r="K10" s="307">
        <v>117</v>
      </c>
      <c r="L10" s="47">
        <f t="shared" si="6"/>
        <v>-0.390625</v>
      </c>
      <c r="M10" s="307">
        <v>216</v>
      </c>
      <c r="N10" s="130">
        <f t="shared" si="7"/>
        <v>0.125</v>
      </c>
      <c r="O10" s="307">
        <v>222</v>
      </c>
      <c r="P10" s="130">
        <f t="shared" si="8"/>
        <v>0.15625</v>
      </c>
      <c r="Q10" s="305">
        <f t="shared" si="1"/>
        <v>555</v>
      </c>
      <c r="R10" s="132">
        <f t="shared" si="9"/>
        <v>-3.645833333333337E-2</v>
      </c>
    </row>
    <row r="11" spans="1:18" x14ac:dyDescent="0.25">
      <c r="A11" s="852" t="s">
        <v>209</v>
      </c>
      <c r="B11" s="315">
        <v>672</v>
      </c>
      <c r="C11" s="311">
        <v>674</v>
      </c>
      <c r="D11" s="314">
        <f t="shared" si="2"/>
        <v>2.9761904761904656E-3</v>
      </c>
      <c r="E11" s="311">
        <v>629</v>
      </c>
      <c r="F11" s="314">
        <f t="shared" si="3"/>
        <v>-6.3988095238095233E-2</v>
      </c>
      <c r="G11" s="311">
        <v>944</v>
      </c>
      <c r="H11" s="314">
        <f t="shared" si="4"/>
        <v>0.40476190476190466</v>
      </c>
      <c r="I11" s="313">
        <f t="shared" si="0"/>
        <v>2247</v>
      </c>
      <c r="J11" s="318">
        <f t="shared" si="5"/>
        <v>0.11458333333333326</v>
      </c>
      <c r="K11" s="311">
        <v>1880</v>
      </c>
      <c r="L11" s="314">
        <f t="shared" si="6"/>
        <v>1.7976190476190474</v>
      </c>
      <c r="M11" s="311">
        <v>974</v>
      </c>
      <c r="N11" s="314">
        <f t="shared" si="7"/>
        <v>0.44940476190476186</v>
      </c>
      <c r="O11" s="311">
        <v>811</v>
      </c>
      <c r="P11" s="314">
        <f t="shared" si="8"/>
        <v>0.20684523809523814</v>
      </c>
      <c r="Q11" s="313">
        <f t="shared" si="1"/>
        <v>3665</v>
      </c>
      <c r="R11" s="318">
        <f t="shared" si="9"/>
        <v>0.8179563492063493</v>
      </c>
    </row>
    <row r="12" spans="1:18" ht="24" x14ac:dyDescent="0.25">
      <c r="A12" s="464" t="s">
        <v>201</v>
      </c>
      <c r="B12" s="315">
        <v>288</v>
      </c>
      <c r="C12" s="311">
        <v>0</v>
      </c>
      <c r="D12" s="314">
        <f t="shared" si="2"/>
        <v>-1</v>
      </c>
      <c r="E12" s="311">
        <v>0</v>
      </c>
      <c r="F12" s="314">
        <f t="shared" si="3"/>
        <v>-1</v>
      </c>
      <c r="G12" s="311">
        <v>0</v>
      </c>
      <c r="H12" s="314">
        <f t="shared" si="4"/>
        <v>-1</v>
      </c>
      <c r="I12" s="313">
        <f t="shared" si="0"/>
        <v>0</v>
      </c>
      <c r="J12" s="318">
        <f t="shared" si="5"/>
        <v>-1</v>
      </c>
      <c r="K12" s="311">
        <v>0</v>
      </c>
      <c r="L12" s="314">
        <f t="shared" si="6"/>
        <v>-1</v>
      </c>
      <c r="M12" s="311">
        <v>0</v>
      </c>
      <c r="N12" s="314">
        <f t="shared" si="7"/>
        <v>-1</v>
      </c>
      <c r="O12" s="311">
        <v>0</v>
      </c>
      <c r="P12" s="314">
        <f t="shared" si="8"/>
        <v>-1</v>
      </c>
      <c r="Q12" s="313">
        <f t="shared" si="1"/>
        <v>0</v>
      </c>
      <c r="R12" s="318">
        <f t="shared" si="9"/>
        <v>-1</v>
      </c>
    </row>
    <row r="13" spans="1:18" x14ac:dyDescent="0.25">
      <c r="A13" s="464" t="s">
        <v>176</v>
      </c>
      <c r="B13" s="315">
        <v>1008</v>
      </c>
      <c r="C13" s="311">
        <v>0</v>
      </c>
      <c r="D13" s="314">
        <f t="shared" si="2"/>
        <v>-1</v>
      </c>
      <c r="E13" s="311">
        <v>0</v>
      </c>
      <c r="F13" s="314">
        <f t="shared" si="3"/>
        <v>-1</v>
      </c>
      <c r="G13" s="311">
        <v>0</v>
      </c>
      <c r="H13" s="314">
        <f t="shared" si="4"/>
        <v>-1</v>
      </c>
      <c r="I13" s="313">
        <f t="shared" si="0"/>
        <v>0</v>
      </c>
      <c r="J13" s="318">
        <f t="shared" si="5"/>
        <v>-1</v>
      </c>
      <c r="K13" s="311">
        <v>0</v>
      </c>
      <c r="L13" s="314">
        <f t="shared" si="6"/>
        <v>-1</v>
      </c>
      <c r="M13" s="311">
        <v>0</v>
      </c>
      <c r="N13" s="314">
        <f t="shared" si="7"/>
        <v>-1</v>
      </c>
      <c r="O13" s="311">
        <v>0</v>
      </c>
      <c r="P13" s="314">
        <f t="shared" si="8"/>
        <v>-1</v>
      </c>
      <c r="Q13" s="313">
        <f t="shared" si="1"/>
        <v>0</v>
      </c>
      <c r="R13" s="318">
        <f t="shared" si="9"/>
        <v>-1</v>
      </c>
    </row>
    <row r="14" spans="1:18" x14ac:dyDescent="0.25">
      <c r="A14" s="310" t="s">
        <v>172</v>
      </c>
      <c r="B14" s="315">
        <v>789</v>
      </c>
      <c r="C14" s="311">
        <v>207</v>
      </c>
      <c r="D14" s="314">
        <f t="shared" si="2"/>
        <v>-0.73764258555133078</v>
      </c>
      <c r="E14" s="311">
        <v>584</v>
      </c>
      <c r="F14" s="314">
        <f t="shared" si="3"/>
        <v>-0.25982256020278838</v>
      </c>
      <c r="G14" s="311">
        <v>636</v>
      </c>
      <c r="H14" s="314">
        <f t="shared" si="4"/>
        <v>-0.19391634980988592</v>
      </c>
      <c r="I14" s="313">
        <f t="shared" si="0"/>
        <v>1427</v>
      </c>
      <c r="J14" s="318">
        <f t="shared" si="5"/>
        <v>-0.39712716518800173</v>
      </c>
      <c r="K14" s="311">
        <v>210</v>
      </c>
      <c r="L14" s="314">
        <f t="shared" si="6"/>
        <v>-0.73384030418250945</v>
      </c>
      <c r="M14" s="311">
        <v>492</v>
      </c>
      <c r="N14" s="314">
        <f t="shared" si="7"/>
        <v>-0.37642585551330798</v>
      </c>
      <c r="O14" s="311">
        <v>351</v>
      </c>
      <c r="P14" s="314">
        <f t="shared" si="8"/>
        <v>-0.55513307984790883</v>
      </c>
      <c r="Q14" s="313">
        <f t="shared" si="1"/>
        <v>1053</v>
      </c>
      <c r="R14" s="318">
        <f t="shared" si="9"/>
        <v>-0.55513307984790883</v>
      </c>
    </row>
    <row r="15" spans="1:18" x14ac:dyDescent="0.25">
      <c r="A15" s="310" t="s">
        <v>210</v>
      </c>
      <c r="B15" s="315">
        <v>789</v>
      </c>
      <c r="C15" s="311">
        <v>28</v>
      </c>
      <c r="D15" s="314">
        <f t="shared" si="2"/>
        <v>-0.96451204055766793</v>
      </c>
      <c r="E15" s="311">
        <v>167</v>
      </c>
      <c r="F15" s="314">
        <f t="shared" si="3"/>
        <v>-0.78833967046894804</v>
      </c>
      <c r="G15" s="311">
        <v>203</v>
      </c>
      <c r="H15" s="314">
        <f t="shared" si="4"/>
        <v>-0.74271229404309258</v>
      </c>
      <c r="I15" s="313">
        <f t="shared" si="0"/>
        <v>398</v>
      </c>
      <c r="J15" s="318">
        <f t="shared" si="5"/>
        <v>-0.83185466835656952</v>
      </c>
      <c r="K15" s="311">
        <v>95</v>
      </c>
      <c r="L15" s="314">
        <f t="shared" si="6"/>
        <v>-0.87959442332065907</v>
      </c>
      <c r="M15" s="311">
        <v>260</v>
      </c>
      <c r="N15" s="314">
        <f t="shared" si="7"/>
        <v>-0.67046894803548795</v>
      </c>
      <c r="O15" s="311">
        <v>266</v>
      </c>
      <c r="P15" s="314">
        <f t="shared" si="8"/>
        <v>-0.6628643852978453</v>
      </c>
      <c r="Q15" s="313">
        <f t="shared" si="1"/>
        <v>621</v>
      </c>
      <c r="R15" s="318">
        <f t="shared" si="9"/>
        <v>-0.73764258555133078</v>
      </c>
    </row>
    <row r="16" spans="1:18" ht="15.75" thickBot="1" x14ac:dyDescent="0.3">
      <c r="A16" s="49" t="s">
        <v>162</v>
      </c>
      <c r="B16" s="32">
        <v>789</v>
      </c>
      <c r="C16" s="301">
        <v>199</v>
      </c>
      <c r="D16" s="330">
        <f t="shared" si="2"/>
        <v>-0.74778200253485427</v>
      </c>
      <c r="E16" s="487">
        <v>47</v>
      </c>
      <c r="F16" s="330">
        <f t="shared" si="3"/>
        <v>-0.94043092522179972</v>
      </c>
      <c r="G16" s="487">
        <v>82</v>
      </c>
      <c r="H16" s="330">
        <f t="shared" si="4"/>
        <v>-0.89607097591888463</v>
      </c>
      <c r="I16" s="331">
        <f t="shared" si="0"/>
        <v>328</v>
      </c>
      <c r="J16" s="332">
        <f t="shared" si="5"/>
        <v>-0.86142796789184617</v>
      </c>
      <c r="K16" s="487">
        <v>165</v>
      </c>
      <c r="L16" s="330">
        <f t="shared" si="6"/>
        <v>-0.79087452471482889</v>
      </c>
      <c r="M16" s="487">
        <v>404</v>
      </c>
      <c r="N16" s="330">
        <f t="shared" si="7"/>
        <v>-0.4879594423320659</v>
      </c>
      <c r="O16" s="487">
        <v>340</v>
      </c>
      <c r="P16" s="330">
        <f t="shared" si="8"/>
        <v>-0.56907477820025343</v>
      </c>
      <c r="Q16" s="331">
        <f t="shared" si="1"/>
        <v>909</v>
      </c>
      <c r="R16" s="332">
        <f t="shared" si="9"/>
        <v>-0.61596958174904937</v>
      </c>
    </row>
    <row r="17" spans="1:18" ht="15.75" thickBot="1" x14ac:dyDescent="0.3">
      <c r="A17" s="50" t="s">
        <v>2</v>
      </c>
      <c r="B17" s="52">
        <f>SUM(B7:B16)</f>
        <v>9844</v>
      </c>
      <c r="C17" s="54">
        <f>SUM(C7:C16)</f>
        <v>5159</v>
      </c>
      <c r="D17" s="59">
        <f>((C17/$B17))-1</f>
        <v>-0.47592442096708654</v>
      </c>
      <c r="E17" s="54">
        <f>SUM(E7:E16)</f>
        <v>5022</v>
      </c>
      <c r="F17" s="59">
        <f>((E17/$B17))-1</f>
        <v>-0.48984152783421375</v>
      </c>
      <c r="G17" s="54">
        <f>SUM(G7:G16)</f>
        <v>6249</v>
      </c>
      <c r="H17" s="59">
        <f>((G17/$B17))-1</f>
        <v>-0.36519707436001625</v>
      </c>
      <c r="I17" s="53">
        <f>C17+E17+G17</f>
        <v>16430</v>
      </c>
      <c r="J17" s="60">
        <f>((I17/(3*$B17)))-1</f>
        <v>-0.44365434105377222</v>
      </c>
      <c r="K17" s="54">
        <f>SUM(K7:K16)</f>
        <v>6231</v>
      </c>
      <c r="L17" s="59">
        <f>((K17/$B17))-1</f>
        <v>-0.36702559934985779</v>
      </c>
      <c r="M17" s="54">
        <f>SUM(M7:M16)</f>
        <v>6952</v>
      </c>
      <c r="N17" s="59">
        <f>((M17/$B17))-1</f>
        <v>-0.29378301503453885</v>
      </c>
      <c r="O17" s="54">
        <f>SUM(O7:O16)</f>
        <v>5904</v>
      </c>
      <c r="P17" s="59">
        <f>((O17/$B17))-1</f>
        <v>-0.40024380333197884</v>
      </c>
      <c r="Q17" s="53">
        <f>K17+M17+O17</f>
        <v>19087</v>
      </c>
      <c r="R17" s="398">
        <f t="shared" si="9"/>
        <v>-0.35368413923879183</v>
      </c>
    </row>
    <row r="20" spans="1:18" ht="15.75" hidden="1" x14ac:dyDescent="0.25">
      <c r="A20" s="801" t="s">
        <v>348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</row>
    <row r="21" spans="1:18" ht="24.75" hidden="1" thickBot="1" x14ac:dyDescent="0.3">
      <c r="A21" s="75" t="s">
        <v>8</v>
      </c>
      <c r="B21" s="343" t="s">
        <v>9</v>
      </c>
      <c r="C21" s="122" t="str">
        <f>'UBS Vila Dalva 1° SEM'!C6</f>
        <v>JAN</v>
      </c>
      <c r="D21" s="123" t="str">
        <f>'UBS Vila Dalva 1° SEM'!D6</f>
        <v>%</v>
      </c>
      <c r="E21" s="122" t="str">
        <f>'UBS Vila Dalva 1° SEM'!E6</f>
        <v>FEV</v>
      </c>
      <c r="F21" s="123" t="str">
        <f>'UBS Vila Dalva 1° SEM'!F6</f>
        <v>%</v>
      </c>
      <c r="G21" s="122" t="str">
        <f>'UBS Vila Dalva 1° SEM'!G6</f>
        <v>MAR</v>
      </c>
      <c r="H21" s="123" t="str">
        <f>'UBS Vila Dalva 1° SEM'!H6</f>
        <v>%</v>
      </c>
      <c r="I21" s="124" t="str">
        <f>'UBS Vila Dalva 1° SEM'!I6</f>
        <v>Trimestre</v>
      </c>
      <c r="J21" s="124" t="str">
        <f>'UBS Vila Dalva 1° SEM'!J6</f>
        <v>%</v>
      </c>
      <c r="K21" s="122" t="str">
        <f>'UBS Vila Dalva 1° SEM'!K6</f>
        <v>ABR</v>
      </c>
      <c r="L21" s="123" t="str">
        <f>'UBS Vila Dalva 1° SEM'!L6</f>
        <v>%</v>
      </c>
      <c r="M21" s="122" t="str">
        <f>'UBS Vila Dalva 1° SEM'!M6</f>
        <v>MAI</v>
      </c>
      <c r="N21" s="123" t="str">
        <f>'UBS Vila Dalva 1° SEM'!N6</f>
        <v>%</v>
      </c>
      <c r="O21" s="122" t="str">
        <f>'UBS Vila Dalva 1° SEM'!O6</f>
        <v>JUN</v>
      </c>
      <c r="P21" s="123" t="str">
        <f>'UBS Vila Dalva 1° SEM'!P6</f>
        <v>%</v>
      </c>
      <c r="Q21" s="124" t="str">
        <f>'UBS Vila Dalva 1° SEM'!Q6</f>
        <v>Trimestre</v>
      </c>
      <c r="R21" s="124" t="str">
        <f>'UBS Vila Dalva 1° SEM'!R6</f>
        <v>%</v>
      </c>
    </row>
    <row r="22" spans="1:18" ht="15.75" hidden="1" thickTop="1" x14ac:dyDescent="0.25">
      <c r="A22" s="72" t="s">
        <v>164</v>
      </c>
      <c r="B22" s="344">
        <v>18</v>
      </c>
      <c r="C22" s="204">
        <v>17</v>
      </c>
      <c r="D22" s="11">
        <f>((C22/$B22))-1</f>
        <v>-5.555555555555558E-2</v>
      </c>
      <c r="E22" s="204">
        <v>16</v>
      </c>
      <c r="F22" s="11">
        <f>((E22/$B22))-1</f>
        <v>-0.11111111111111116</v>
      </c>
      <c r="G22" s="204">
        <v>16</v>
      </c>
      <c r="H22" s="11">
        <f>((G22/$B22))-1</f>
        <v>-0.11111111111111116</v>
      </c>
      <c r="I22" s="9">
        <f t="shared" ref="I22:I32" si="10">C22+E22+G22</f>
        <v>49</v>
      </c>
      <c r="J22" s="12">
        <f>((I22/(3*$B22)))-1</f>
        <v>-9.259259259259256E-2</v>
      </c>
      <c r="K22" s="204">
        <v>17</v>
      </c>
      <c r="L22" s="11">
        <f>((K22/$B22))-1</f>
        <v>-5.555555555555558E-2</v>
      </c>
      <c r="M22" s="204">
        <v>17</v>
      </c>
      <c r="N22" s="11">
        <f>((M22/$B22))-1</f>
        <v>-5.555555555555558E-2</v>
      </c>
      <c r="O22" s="204">
        <v>17</v>
      </c>
      <c r="P22" s="11">
        <f>((O22/$B22))-1</f>
        <v>-5.555555555555558E-2</v>
      </c>
      <c r="Q22" s="9">
        <f t="shared" ref="Q22:Q32" si="11">K22+M22+O22</f>
        <v>51</v>
      </c>
      <c r="R22" s="12">
        <f>((Q22/(3*$B22)))-1</f>
        <v>-5.555555555555558E-2</v>
      </c>
    </row>
    <row r="23" spans="1:18" hidden="1" x14ac:dyDescent="0.25">
      <c r="A23" s="72" t="s">
        <v>165</v>
      </c>
      <c r="B23" s="345">
        <v>3</v>
      </c>
      <c r="C23" s="711">
        <v>3</v>
      </c>
      <c r="D23" s="11">
        <f t="shared" ref="D23:D32" si="12">((C23/$B23))-1</f>
        <v>0</v>
      </c>
      <c r="E23" s="710">
        <v>3</v>
      </c>
      <c r="F23" s="11">
        <f t="shared" ref="F23:F32" si="13">((E23/$B23))-1</f>
        <v>0</v>
      </c>
      <c r="G23" s="710">
        <v>3</v>
      </c>
      <c r="H23" s="11">
        <f t="shared" ref="H23:H32" si="14">((G23/$B23))-1</f>
        <v>0</v>
      </c>
      <c r="I23" s="9">
        <f t="shared" si="10"/>
        <v>9</v>
      </c>
      <c r="J23" s="12">
        <f t="shared" ref="J23:J32" si="15">((I23/(3*$B23)))-1</f>
        <v>0</v>
      </c>
      <c r="K23" s="296">
        <v>3.5</v>
      </c>
      <c r="L23" s="11">
        <f t="shared" ref="L23:L31" si="16">((K23/$B23))-1</f>
        <v>0.16666666666666674</v>
      </c>
      <c r="M23" s="296">
        <v>3.5</v>
      </c>
      <c r="N23" s="11">
        <f t="shared" ref="N23:N32" si="17">((M23/$B23))-1</f>
        <v>0.16666666666666674</v>
      </c>
      <c r="O23" s="296">
        <v>3</v>
      </c>
      <c r="P23" s="11">
        <f t="shared" ref="P23:P32" si="18">((O23/$B23))-1</f>
        <v>0</v>
      </c>
      <c r="Q23" s="9">
        <f t="shared" si="11"/>
        <v>10</v>
      </c>
      <c r="R23" s="12">
        <f t="shared" ref="R23:R32" si="19">((Q23/(3*$B23)))-1</f>
        <v>0.11111111111111116</v>
      </c>
    </row>
    <row r="24" spans="1:18" hidden="1" x14ac:dyDescent="0.25">
      <c r="A24" s="72" t="s">
        <v>186</v>
      </c>
      <c r="B24" s="345">
        <v>3</v>
      </c>
      <c r="C24" s="711">
        <v>3</v>
      </c>
      <c r="D24" s="11">
        <f t="shared" si="12"/>
        <v>0</v>
      </c>
      <c r="E24" s="710">
        <v>3</v>
      </c>
      <c r="F24" s="11">
        <f t="shared" si="13"/>
        <v>0</v>
      </c>
      <c r="G24" s="710">
        <v>3</v>
      </c>
      <c r="H24" s="11">
        <f t="shared" si="14"/>
        <v>0</v>
      </c>
      <c r="I24" s="9">
        <f t="shared" si="10"/>
        <v>9</v>
      </c>
      <c r="J24" s="12">
        <f t="shared" si="15"/>
        <v>0</v>
      </c>
      <c r="K24" s="296">
        <v>3</v>
      </c>
      <c r="L24" s="11">
        <f t="shared" si="16"/>
        <v>0</v>
      </c>
      <c r="M24" s="295">
        <v>3</v>
      </c>
      <c r="N24" s="11">
        <f t="shared" si="17"/>
        <v>0</v>
      </c>
      <c r="O24" s="295">
        <v>3</v>
      </c>
      <c r="P24" s="11">
        <f t="shared" si="18"/>
        <v>0</v>
      </c>
      <c r="Q24" s="9">
        <f t="shared" si="11"/>
        <v>9</v>
      </c>
      <c r="R24" s="12">
        <f t="shared" si="19"/>
        <v>0</v>
      </c>
    </row>
    <row r="25" spans="1:18" hidden="1" x14ac:dyDescent="0.25">
      <c r="A25" s="322" t="s">
        <v>211</v>
      </c>
      <c r="B25" s="345">
        <v>1</v>
      </c>
      <c r="C25" s="104">
        <v>1</v>
      </c>
      <c r="D25" s="11">
        <f t="shared" si="12"/>
        <v>0</v>
      </c>
      <c r="E25" s="295">
        <v>1</v>
      </c>
      <c r="F25" s="11">
        <f t="shared" si="13"/>
        <v>0</v>
      </c>
      <c r="G25" s="710">
        <v>1</v>
      </c>
      <c r="H25" s="11">
        <f t="shared" si="14"/>
        <v>0</v>
      </c>
      <c r="I25" s="9">
        <f t="shared" si="10"/>
        <v>3</v>
      </c>
      <c r="J25" s="12">
        <f t="shared" si="15"/>
        <v>0</v>
      </c>
      <c r="K25" s="295">
        <v>1</v>
      </c>
      <c r="L25" s="11">
        <f t="shared" si="16"/>
        <v>0</v>
      </c>
      <c r="M25" s="295">
        <v>1</v>
      </c>
      <c r="N25" s="11">
        <f t="shared" si="17"/>
        <v>0</v>
      </c>
      <c r="O25" s="296">
        <v>1</v>
      </c>
      <c r="P25" s="11">
        <f t="shared" si="18"/>
        <v>0</v>
      </c>
      <c r="Q25" s="9">
        <f t="shared" si="11"/>
        <v>3</v>
      </c>
      <c r="R25" s="12">
        <f t="shared" si="19"/>
        <v>0</v>
      </c>
    </row>
    <row r="26" spans="1:18" hidden="1" x14ac:dyDescent="0.25">
      <c r="A26" s="310" t="s">
        <v>206</v>
      </c>
      <c r="B26" s="345">
        <v>3</v>
      </c>
      <c r="C26" s="104">
        <v>2</v>
      </c>
      <c r="D26" s="11">
        <f t="shared" si="12"/>
        <v>-0.33333333333333337</v>
      </c>
      <c r="E26" s="295">
        <v>1</v>
      </c>
      <c r="F26" s="11">
        <f t="shared" si="13"/>
        <v>-0.66666666666666674</v>
      </c>
      <c r="G26" s="710">
        <v>1</v>
      </c>
      <c r="H26" s="11">
        <f t="shared" si="14"/>
        <v>-0.66666666666666674</v>
      </c>
      <c r="I26" s="9">
        <f t="shared" si="10"/>
        <v>4</v>
      </c>
      <c r="J26" s="12">
        <f t="shared" si="15"/>
        <v>-0.55555555555555558</v>
      </c>
      <c r="K26" s="295">
        <v>1</v>
      </c>
      <c r="L26" s="11">
        <f t="shared" si="16"/>
        <v>-0.66666666666666674</v>
      </c>
      <c r="M26" s="295">
        <v>1</v>
      </c>
      <c r="N26" s="11">
        <f t="shared" si="17"/>
        <v>-0.66666666666666674</v>
      </c>
      <c r="O26" s="295">
        <v>1</v>
      </c>
      <c r="P26" s="11">
        <f t="shared" si="18"/>
        <v>-0.66666666666666674</v>
      </c>
      <c r="Q26" s="9">
        <f t="shared" si="11"/>
        <v>3</v>
      </c>
      <c r="R26" s="12">
        <f t="shared" si="19"/>
        <v>-0.66666666666666674</v>
      </c>
    </row>
    <row r="27" spans="1:18" hidden="1" x14ac:dyDescent="0.25">
      <c r="A27" s="310" t="s">
        <v>167</v>
      </c>
      <c r="B27" s="345">
        <v>3</v>
      </c>
      <c r="C27" s="104">
        <v>2</v>
      </c>
      <c r="D27" s="11">
        <f t="shared" si="12"/>
        <v>-0.33333333333333337</v>
      </c>
      <c r="E27" s="295">
        <v>3</v>
      </c>
      <c r="F27" s="11">
        <f t="shared" si="13"/>
        <v>0</v>
      </c>
      <c r="G27" s="710">
        <v>1</v>
      </c>
      <c r="H27" s="11">
        <f t="shared" si="14"/>
        <v>-0.66666666666666674</v>
      </c>
      <c r="I27" s="9">
        <f t="shared" si="10"/>
        <v>6</v>
      </c>
      <c r="J27" s="12">
        <f t="shared" si="15"/>
        <v>-0.33333333333333337</v>
      </c>
      <c r="K27" s="295">
        <v>1</v>
      </c>
      <c r="L27" s="11">
        <f t="shared" si="16"/>
        <v>-0.66666666666666674</v>
      </c>
      <c r="M27" s="295">
        <v>1</v>
      </c>
      <c r="N27" s="11">
        <f t="shared" si="17"/>
        <v>-0.66666666666666674</v>
      </c>
      <c r="O27" s="295">
        <v>1</v>
      </c>
      <c r="P27" s="11">
        <f t="shared" si="18"/>
        <v>-0.66666666666666674</v>
      </c>
      <c r="Q27" s="9">
        <f t="shared" si="11"/>
        <v>3</v>
      </c>
      <c r="R27" s="12">
        <f t="shared" si="19"/>
        <v>-0.66666666666666674</v>
      </c>
    </row>
    <row r="28" spans="1:18" hidden="1" x14ac:dyDescent="0.25">
      <c r="A28" s="323" t="s">
        <v>212</v>
      </c>
      <c r="B28" s="320">
        <v>3</v>
      </c>
      <c r="C28" s="307">
        <v>2</v>
      </c>
      <c r="D28" s="47">
        <f t="shared" si="12"/>
        <v>-0.33333333333333337</v>
      </c>
      <c r="E28" s="307">
        <v>1</v>
      </c>
      <c r="F28" s="47">
        <f t="shared" si="13"/>
        <v>-0.66666666666666674</v>
      </c>
      <c r="G28" s="714">
        <v>1</v>
      </c>
      <c r="H28" s="47">
        <f t="shared" si="14"/>
        <v>-0.66666666666666674</v>
      </c>
      <c r="I28" s="305">
        <f t="shared" si="10"/>
        <v>4</v>
      </c>
      <c r="J28" s="132">
        <f t="shared" si="15"/>
        <v>-0.55555555555555558</v>
      </c>
      <c r="K28" s="307">
        <v>1</v>
      </c>
      <c r="L28" s="47">
        <f t="shared" si="16"/>
        <v>-0.66666666666666674</v>
      </c>
      <c r="M28" s="307">
        <v>2</v>
      </c>
      <c r="N28" s="130">
        <f t="shared" si="17"/>
        <v>-0.33333333333333337</v>
      </c>
      <c r="O28" s="307">
        <v>2</v>
      </c>
      <c r="P28" s="130">
        <f t="shared" si="18"/>
        <v>-0.33333333333333337</v>
      </c>
      <c r="Q28" s="305">
        <f t="shared" si="11"/>
        <v>5</v>
      </c>
      <c r="R28" s="132">
        <f t="shared" si="19"/>
        <v>-0.44444444444444442</v>
      </c>
    </row>
    <row r="29" spans="1:18" hidden="1" x14ac:dyDescent="0.25">
      <c r="A29" s="310" t="s">
        <v>168</v>
      </c>
      <c r="B29" s="335">
        <v>3</v>
      </c>
      <c r="C29" s="311">
        <v>1</v>
      </c>
      <c r="D29" s="314">
        <f t="shared" si="12"/>
        <v>-0.66666666666666674</v>
      </c>
      <c r="E29" s="311">
        <v>1</v>
      </c>
      <c r="F29" s="314">
        <f t="shared" si="13"/>
        <v>-0.66666666666666674</v>
      </c>
      <c r="G29" s="715">
        <v>1</v>
      </c>
      <c r="H29" s="314">
        <f t="shared" si="14"/>
        <v>-0.66666666666666674</v>
      </c>
      <c r="I29" s="313">
        <f t="shared" si="10"/>
        <v>3</v>
      </c>
      <c r="J29" s="318">
        <f>((I29/(3*$B29)))-1</f>
        <v>-0.66666666666666674</v>
      </c>
      <c r="K29" s="311">
        <v>2</v>
      </c>
      <c r="L29" s="314">
        <f t="shared" si="16"/>
        <v>-0.33333333333333337</v>
      </c>
      <c r="M29" s="311">
        <v>2</v>
      </c>
      <c r="N29" s="314">
        <f t="shared" si="17"/>
        <v>-0.33333333333333337</v>
      </c>
      <c r="O29" s="311">
        <v>2</v>
      </c>
      <c r="P29" s="314">
        <f t="shared" si="18"/>
        <v>-0.33333333333333337</v>
      </c>
      <c r="Q29" s="313">
        <f t="shared" si="11"/>
        <v>6</v>
      </c>
      <c r="R29" s="318">
        <f t="shared" si="19"/>
        <v>-0.33333333333333337</v>
      </c>
    </row>
    <row r="30" spans="1:18" hidden="1" x14ac:dyDescent="0.25">
      <c r="A30" s="310" t="s">
        <v>184</v>
      </c>
      <c r="B30" s="335">
        <v>2</v>
      </c>
      <c r="C30" s="311">
        <v>2</v>
      </c>
      <c r="D30" s="314">
        <f t="shared" si="12"/>
        <v>0</v>
      </c>
      <c r="E30" s="311">
        <v>2</v>
      </c>
      <c r="F30" s="314">
        <f t="shared" si="13"/>
        <v>0</v>
      </c>
      <c r="G30" s="715">
        <v>2</v>
      </c>
      <c r="H30" s="314">
        <f t="shared" si="14"/>
        <v>0</v>
      </c>
      <c r="I30" s="313">
        <f t="shared" si="10"/>
        <v>6</v>
      </c>
      <c r="J30" s="318">
        <f t="shared" ref="J30:J31" si="20">((I30/(3*$B30)))-1</f>
        <v>0</v>
      </c>
      <c r="K30" s="311">
        <v>2</v>
      </c>
      <c r="L30" s="314">
        <f t="shared" si="16"/>
        <v>0</v>
      </c>
      <c r="M30" s="311">
        <v>2</v>
      </c>
      <c r="N30" s="314">
        <f t="shared" si="17"/>
        <v>0</v>
      </c>
      <c r="O30" s="311">
        <v>2</v>
      </c>
      <c r="P30" s="314">
        <f t="shared" si="18"/>
        <v>0</v>
      </c>
      <c r="Q30" s="313">
        <f t="shared" si="11"/>
        <v>6</v>
      </c>
      <c r="R30" s="318">
        <f t="shared" si="19"/>
        <v>0</v>
      </c>
    </row>
    <row r="31" spans="1:18" ht="15.75" hidden="1" thickBot="1" x14ac:dyDescent="0.3">
      <c r="A31" s="323" t="s">
        <v>170</v>
      </c>
      <c r="B31" s="342">
        <v>4</v>
      </c>
      <c r="C31" s="329">
        <v>4</v>
      </c>
      <c r="D31" s="330">
        <f t="shared" si="12"/>
        <v>0</v>
      </c>
      <c r="E31" s="329">
        <v>4</v>
      </c>
      <c r="F31" s="330">
        <f t="shared" si="13"/>
        <v>0</v>
      </c>
      <c r="G31" s="329">
        <v>4</v>
      </c>
      <c r="H31" s="330">
        <f t="shared" si="14"/>
        <v>0</v>
      </c>
      <c r="I31" s="331">
        <f t="shared" si="10"/>
        <v>12</v>
      </c>
      <c r="J31" s="332">
        <f t="shared" si="20"/>
        <v>0</v>
      </c>
      <c r="K31" s="329">
        <v>4</v>
      </c>
      <c r="L31" s="330">
        <f t="shared" si="16"/>
        <v>0</v>
      </c>
      <c r="M31" s="329">
        <v>4</v>
      </c>
      <c r="N31" s="330">
        <f t="shared" si="17"/>
        <v>0</v>
      </c>
      <c r="O31" s="329">
        <v>4</v>
      </c>
      <c r="P31" s="330">
        <f t="shared" si="18"/>
        <v>0</v>
      </c>
      <c r="Q31" s="331">
        <f t="shared" si="11"/>
        <v>12</v>
      </c>
      <c r="R31" s="332">
        <f t="shared" si="19"/>
        <v>0</v>
      </c>
    </row>
    <row r="32" spans="1:18" ht="21.75" hidden="1" customHeight="1" thickBot="1" x14ac:dyDescent="0.3">
      <c r="A32" s="50" t="s">
        <v>2</v>
      </c>
      <c r="B32" s="370">
        <f>SUM(B22:B31)</f>
        <v>43</v>
      </c>
      <c r="C32" s="54">
        <f>SUM(C22:C31)</f>
        <v>37</v>
      </c>
      <c r="D32" s="59">
        <f t="shared" si="12"/>
        <v>-0.13953488372093026</v>
      </c>
      <c r="E32" s="54">
        <f>SUM(E22:E31)</f>
        <v>35</v>
      </c>
      <c r="F32" s="59">
        <f t="shared" si="13"/>
        <v>-0.18604651162790697</v>
      </c>
      <c r="G32" s="54">
        <f>SUM(G22:G31)</f>
        <v>33</v>
      </c>
      <c r="H32" s="59">
        <f t="shared" si="14"/>
        <v>-0.23255813953488369</v>
      </c>
      <c r="I32" s="53">
        <f t="shared" si="10"/>
        <v>105</v>
      </c>
      <c r="J32" s="60">
        <f t="shared" si="15"/>
        <v>-0.18604651162790697</v>
      </c>
      <c r="K32" s="54">
        <f>SUM(K22:K31)</f>
        <v>35.5</v>
      </c>
      <c r="L32" s="59">
        <f>((K32/$B32))-1</f>
        <v>-0.17441860465116277</v>
      </c>
      <c r="M32" s="54">
        <f>SUM(M22:M31)</f>
        <v>36.5</v>
      </c>
      <c r="N32" s="59">
        <f t="shared" si="17"/>
        <v>-0.15116279069767447</v>
      </c>
      <c r="O32" s="54">
        <f>SUM(O22:O31)</f>
        <v>36</v>
      </c>
      <c r="P32" s="59">
        <f t="shared" si="18"/>
        <v>-0.16279069767441856</v>
      </c>
      <c r="Q32" s="53">
        <f t="shared" si="11"/>
        <v>108</v>
      </c>
      <c r="R32" s="398">
        <f t="shared" si="19"/>
        <v>-0.16279069767441856</v>
      </c>
    </row>
    <row r="33" spans="1:18" hidden="1" x14ac:dyDescent="0.25"/>
    <row r="34" spans="1:18" ht="15.75" hidden="1" x14ac:dyDescent="0.25">
      <c r="A34" s="806" t="s">
        <v>349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</row>
    <row r="35" spans="1:18" ht="24.75" hidden="1" thickBot="1" x14ac:dyDescent="0.3">
      <c r="A35" s="10" t="s">
        <v>8</v>
      </c>
      <c r="B35" s="343" t="s">
        <v>9</v>
      </c>
      <c r="C35" s="122" t="str">
        <f t="shared" ref="C35:R35" si="21">C21</f>
        <v>JAN</v>
      </c>
      <c r="D35" s="123" t="str">
        <f t="shared" si="21"/>
        <v>%</v>
      </c>
      <c r="E35" s="122" t="str">
        <f t="shared" si="21"/>
        <v>FEV</v>
      </c>
      <c r="F35" s="123" t="str">
        <f t="shared" si="21"/>
        <v>%</v>
      </c>
      <c r="G35" s="122" t="str">
        <f t="shared" si="21"/>
        <v>MAR</v>
      </c>
      <c r="H35" s="123" t="str">
        <f t="shared" si="21"/>
        <v>%</v>
      </c>
      <c r="I35" s="124" t="str">
        <f t="shared" si="21"/>
        <v>Trimestre</v>
      </c>
      <c r="J35" s="124" t="str">
        <f t="shared" si="21"/>
        <v>%</v>
      </c>
      <c r="K35" s="122" t="str">
        <f t="shared" si="21"/>
        <v>ABR</v>
      </c>
      <c r="L35" s="123" t="str">
        <f t="shared" si="21"/>
        <v>%</v>
      </c>
      <c r="M35" s="122" t="str">
        <f t="shared" si="21"/>
        <v>MAI</v>
      </c>
      <c r="N35" s="123" t="str">
        <f t="shared" si="21"/>
        <v>%</v>
      </c>
      <c r="O35" s="122" t="str">
        <f t="shared" si="21"/>
        <v>JUN</v>
      </c>
      <c r="P35" s="123" t="str">
        <f t="shared" si="21"/>
        <v>%</v>
      </c>
      <c r="Q35" s="124" t="str">
        <f t="shared" si="21"/>
        <v>Trimestre</v>
      </c>
      <c r="R35" s="124" t="str">
        <f t="shared" si="21"/>
        <v>%</v>
      </c>
    </row>
    <row r="36" spans="1:18" ht="15.75" hidden="1" thickTop="1" x14ac:dyDescent="0.25">
      <c r="A36" s="1" t="s">
        <v>219</v>
      </c>
      <c r="B36" s="346">
        <v>1</v>
      </c>
      <c r="C36" s="104">
        <v>1</v>
      </c>
      <c r="D36" s="21">
        <f t="shared" ref="D36:D43" si="22">$D$32</f>
        <v>-0.13953488372093026</v>
      </c>
      <c r="E36" s="295">
        <v>1</v>
      </c>
      <c r="F36" s="21">
        <f t="shared" ref="F36:F39" si="23">$D$32</f>
        <v>-0.13953488372093026</v>
      </c>
      <c r="G36" s="295">
        <v>1</v>
      </c>
      <c r="H36" s="21">
        <f t="shared" ref="H36:H39" si="24">$D$32</f>
        <v>-0.13953488372093026</v>
      </c>
      <c r="I36" s="9">
        <f t="shared" ref="I36:I44" si="25">C36+E36+G36</f>
        <v>3</v>
      </c>
      <c r="J36" s="19">
        <f>((I36/(3*$B36)))-1</f>
        <v>0</v>
      </c>
      <c r="K36" s="295">
        <v>1</v>
      </c>
      <c r="L36" s="18">
        <f t="shared" ref="L36:L43" si="26">((K36/$B36))-1</f>
        <v>0</v>
      </c>
      <c r="M36" s="295">
        <v>1</v>
      </c>
      <c r="N36" s="21">
        <f t="shared" ref="N36:N39" si="27">$D$32</f>
        <v>-0.13953488372093026</v>
      </c>
      <c r="O36" s="295">
        <v>1</v>
      </c>
      <c r="P36" s="21">
        <f t="shared" ref="P36:P39" si="28">$D$32</f>
        <v>-0.13953488372093026</v>
      </c>
      <c r="Q36" s="9">
        <f>K36+M36+O36</f>
        <v>3</v>
      </c>
      <c r="R36" s="19">
        <f>((Q36/(3*$B36)))-1</f>
        <v>0</v>
      </c>
    </row>
    <row r="37" spans="1:18" hidden="1" x14ac:dyDescent="0.25">
      <c r="A37" s="1" t="s">
        <v>220</v>
      </c>
      <c r="B37" s="346">
        <v>2</v>
      </c>
      <c r="C37" s="104">
        <v>1</v>
      </c>
      <c r="D37" s="21">
        <f t="shared" si="22"/>
        <v>-0.13953488372093026</v>
      </c>
      <c r="E37" s="295">
        <v>2</v>
      </c>
      <c r="F37" s="21">
        <f t="shared" si="23"/>
        <v>-0.13953488372093026</v>
      </c>
      <c r="G37" s="295">
        <v>2</v>
      </c>
      <c r="H37" s="21">
        <f t="shared" si="24"/>
        <v>-0.13953488372093026</v>
      </c>
      <c r="I37" s="9">
        <f t="shared" si="25"/>
        <v>5</v>
      </c>
      <c r="J37" s="19">
        <f t="shared" ref="J37:J44" si="29">((I37/(3*$B37)))-1</f>
        <v>-0.16666666666666663</v>
      </c>
      <c r="K37" s="295">
        <v>2</v>
      </c>
      <c r="L37" s="18">
        <f t="shared" si="26"/>
        <v>0</v>
      </c>
      <c r="M37" s="295">
        <v>2</v>
      </c>
      <c r="N37" s="21">
        <f t="shared" si="27"/>
        <v>-0.13953488372093026</v>
      </c>
      <c r="O37" s="295">
        <v>2</v>
      </c>
      <c r="P37" s="21">
        <f t="shared" si="28"/>
        <v>-0.13953488372093026</v>
      </c>
      <c r="Q37" s="9">
        <f t="shared" ref="Q37:Q43" si="30">K37+M37+O37</f>
        <v>6</v>
      </c>
      <c r="R37" s="19">
        <f t="shared" ref="R37:R43" si="31">((Q37/(3*$B37)))-1</f>
        <v>0</v>
      </c>
    </row>
    <row r="38" spans="1:18" hidden="1" x14ac:dyDescent="0.25">
      <c r="A38" s="1" t="s">
        <v>217</v>
      </c>
      <c r="B38" s="346">
        <v>1</v>
      </c>
      <c r="C38" s="104">
        <v>1</v>
      </c>
      <c r="D38" s="21">
        <f t="shared" si="22"/>
        <v>-0.13953488372093026</v>
      </c>
      <c r="E38" s="295">
        <v>1</v>
      </c>
      <c r="F38" s="21">
        <f t="shared" si="23"/>
        <v>-0.13953488372093026</v>
      </c>
      <c r="G38" s="295">
        <v>1</v>
      </c>
      <c r="H38" s="21">
        <f t="shared" si="24"/>
        <v>-0.13953488372093026</v>
      </c>
      <c r="I38" s="9">
        <f t="shared" si="25"/>
        <v>3</v>
      </c>
      <c r="J38" s="19">
        <f t="shared" si="29"/>
        <v>0</v>
      </c>
      <c r="K38" s="295">
        <v>1</v>
      </c>
      <c r="L38" s="18">
        <f t="shared" si="26"/>
        <v>0</v>
      </c>
      <c r="M38" s="295">
        <v>1</v>
      </c>
      <c r="N38" s="21">
        <f t="shared" si="27"/>
        <v>-0.13953488372093026</v>
      </c>
      <c r="O38" s="295">
        <v>1</v>
      </c>
      <c r="P38" s="21">
        <f t="shared" si="28"/>
        <v>-0.13953488372093026</v>
      </c>
      <c r="Q38" s="9">
        <f t="shared" si="30"/>
        <v>3</v>
      </c>
      <c r="R38" s="19">
        <f t="shared" si="31"/>
        <v>0</v>
      </c>
    </row>
    <row r="39" spans="1:18" hidden="1" x14ac:dyDescent="0.25">
      <c r="A39" s="1" t="s">
        <v>168</v>
      </c>
      <c r="B39" s="346">
        <v>1</v>
      </c>
      <c r="C39" s="104">
        <v>1</v>
      </c>
      <c r="D39" s="21">
        <f t="shared" si="22"/>
        <v>-0.13953488372093026</v>
      </c>
      <c r="E39" s="295">
        <v>1</v>
      </c>
      <c r="F39" s="21">
        <f t="shared" si="23"/>
        <v>-0.13953488372093026</v>
      </c>
      <c r="G39" s="295">
        <v>1</v>
      </c>
      <c r="H39" s="21">
        <f t="shared" si="24"/>
        <v>-0.13953488372093026</v>
      </c>
      <c r="I39" s="9">
        <f t="shared" si="25"/>
        <v>3</v>
      </c>
      <c r="J39" s="19">
        <f t="shared" si="29"/>
        <v>0</v>
      </c>
      <c r="K39" s="295">
        <v>1</v>
      </c>
      <c r="L39" s="18">
        <f t="shared" si="26"/>
        <v>0</v>
      </c>
      <c r="M39" s="295">
        <v>1</v>
      </c>
      <c r="N39" s="21">
        <f t="shared" si="27"/>
        <v>-0.13953488372093026</v>
      </c>
      <c r="O39" s="295">
        <v>1</v>
      </c>
      <c r="P39" s="21">
        <f t="shared" si="28"/>
        <v>-0.13953488372093026</v>
      </c>
      <c r="Q39" s="9">
        <f t="shared" si="30"/>
        <v>3</v>
      </c>
      <c r="R39" s="19">
        <f t="shared" si="31"/>
        <v>0</v>
      </c>
    </row>
    <row r="40" spans="1:18" hidden="1" x14ac:dyDescent="0.25">
      <c r="A40" s="1" t="s">
        <v>207</v>
      </c>
      <c r="B40" s="346">
        <v>1</v>
      </c>
      <c r="C40" s="104">
        <v>0</v>
      </c>
      <c r="D40" s="21">
        <f t="shared" si="22"/>
        <v>-0.13953488372093026</v>
      </c>
      <c r="E40" s="295">
        <v>1</v>
      </c>
      <c r="F40" s="21">
        <f>((E40/$B$27))-1</f>
        <v>-0.66666666666666674</v>
      </c>
      <c r="G40" s="295">
        <v>0</v>
      </c>
      <c r="H40" s="21">
        <f>((G40/$B$27))-1</f>
        <v>-1</v>
      </c>
      <c r="I40" s="9">
        <f t="shared" si="25"/>
        <v>1</v>
      </c>
      <c r="J40" s="19">
        <f t="shared" si="29"/>
        <v>-0.66666666666666674</v>
      </c>
      <c r="K40" s="295">
        <v>0</v>
      </c>
      <c r="L40" s="18">
        <f t="shared" si="26"/>
        <v>-1</v>
      </c>
      <c r="M40" s="295">
        <v>0</v>
      </c>
      <c r="N40" s="21">
        <f>((M40/$B$27))-1</f>
        <v>-1</v>
      </c>
      <c r="O40" s="295">
        <v>0</v>
      </c>
      <c r="P40" s="21">
        <f>((O40/$B$27))-1</f>
        <v>-1</v>
      </c>
      <c r="Q40" s="9">
        <f t="shared" si="30"/>
        <v>0</v>
      </c>
      <c r="R40" s="19">
        <f t="shared" si="31"/>
        <v>-1</v>
      </c>
    </row>
    <row r="41" spans="1:18" hidden="1" x14ac:dyDescent="0.25">
      <c r="A41" s="206" t="s">
        <v>14</v>
      </c>
      <c r="B41" s="347">
        <v>1</v>
      </c>
      <c r="C41" s="61">
        <v>1</v>
      </c>
      <c r="D41" s="21">
        <f t="shared" si="22"/>
        <v>-0.13953488372093026</v>
      </c>
      <c r="E41" s="295">
        <v>1</v>
      </c>
      <c r="F41" s="21">
        <f t="shared" ref="F41:F43" si="32">((E41/$B$27))-1</f>
        <v>-0.66666666666666674</v>
      </c>
      <c r="G41" s="295">
        <v>0</v>
      </c>
      <c r="H41" s="21">
        <f t="shared" ref="H41:H43" si="33">((G41/$B$27))-1</f>
        <v>-1</v>
      </c>
      <c r="I41" s="305">
        <f t="shared" si="25"/>
        <v>2</v>
      </c>
      <c r="J41" s="20">
        <f t="shared" si="29"/>
        <v>-0.33333333333333337</v>
      </c>
      <c r="K41" s="307">
        <v>0</v>
      </c>
      <c r="L41" s="29">
        <f t="shared" si="26"/>
        <v>-1</v>
      </c>
      <c r="M41" s="295">
        <v>0</v>
      </c>
      <c r="N41" s="21">
        <f t="shared" ref="N41:N43" si="34">((M41/$B$27))-1</f>
        <v>-1</v>
      </c>
      <c r="O41" s="295">
        <v>0</v>
      </c>
      <c r="P41" s="208">
        <f>((O41/$B$28))-1</f>
        <v>-1</v>
      </c>
      <c r="Q41" s="305">
        <f t="shared" si="30"/>
        <v>0</v>
      </c>
      <c r="R41" s="20">
        <f t="shared" si="31"/>
        <v>-1</v>
      </c>
    </row>
    <row r="42" spans="1:18" hidden="1" x14ac:dyDescent="0.25">
      <c r="A42" s="374" t="s">
        <v>153</v>
      </c>
      <c r="B42" s="405">
        <v>1</v>
      </c>
      <c r="C42" s="376">
        <v>1</v>
      </c>
      <c r="D42" s="338">
        <f t="shared" si="22"/>
        <v>-0.13953488372093026</v>
      </c>
      <c r="E42" s="376">
        <v>1</v>
      </c>
      <c r="F42" s="338">
        <f t="shared" si="32"/>
        <v>-0.66666666666666674</v>
      </c>
      <c r="G42" s="376">
        <v>1</v>
      </c>
      <c r="H42" s="338">
        <f t="shared" si="33"/>
        <v>-0.66666666666666674</v>
      </c>
      <c r="I42" s="377">
        <f t="shared" si="25"/>
        <v>3</v>
      </c>
      <c r="J42" s="378">
        <f t="shared" si="29"/>
        <v>0</v>
      </c>
      <c r="K42" s="376">
        <v>1</v>
      </c>
      <c r="L42" s="379">
        <f t="shared" si="26"/>
        <v>0</v>
      </c>
      <c r="M42" s="307">
        <v>1</v>
      </c>
      <c r="N42" s="338">
        <f t="shared" si="34"/>
        <v>-0.66666666666666674</v>
      </c>
      <c r="O42" s="307">
        <v>1</v>
      </c>
      <c r="P42" s="379">
        <f>((O42/$B$29))-1</f>
        <v>-0.66666666666666674</v>
      </c>
      <c r="Q42" s="377">
        <f t="shared" si="30"/>
        <v>3</v>
      </c>
      <c r="R42" s="378">
        <f t="shared" si="31"/>
        <v>0</v>
      </c>
    </row>
    <row r="43" spans="1:18" ht="15.75" hidden="1" thickBot="1" x14ac:dyDescent="0.3">
      <c r="A43" s="323" t="s">
        <v>221</v>
      </c>
      <c r="B43" s="406">
        <v>1</v>
      </c>
      <c r="C43" s="329">
        <v>1</v>
      </c>
      <c r="D43" s="402">
        <f t="shared" si="22"/>
        <v>-0.13953488372093026</v>
      </c>
      <c r="E43" s="329">
        <v>1</v>
      </c>
      <c r="F43" s="402">
        <f t="shared" si="32"/>
        <v>-0.66666666666666674</v>
      </c>
      <c r="G43" s="329">
        <v>1</v>
      </c>
      <c r="H43" s="402">
        <f t="shared" si="33"/>
        <v>-0.66666666666666674</v>
      </c>
      <c r="I43" s="331">
        <f t="shared" si="25"/>
        <v>3</v>
      </c>
      <c r="J43" s="407">
        <f t="shared" si="29"/>
        <v>0</v>
      </c>
      <c r="K43" s="329">
        <v>1</v>
      </c>
      <c r="L43" s="402">
        <f t="shared" si="26"/>
        <v>0</v>
      </c>
      <c r="M43" s="329">
        <v>1</v>
      </c>
      <c r="N43" s="402">
        <f t="shared" si="34"/>
        <v>-0.66666666666666674</v>
      </c>
      <c r="O43" s="329">
        <v>1</v>
      </c>
      <c r="P43" s="402">
        <f>((O43/$B$29))-1</f>
        <v>-0.66666666666666674</v>
      </c>
      <c r="Q43" s="331">
        <f t="shared" si="30"/>
        <v>3</v>
      </c>
      <c r="R43" s="407">
        <f t="shared" si="31"/>
        <v>0</v>
      </c>
    </row>
    <row r="44" spans="1:18" ht="15.75" hidden="1" thickBot="1" x14ac:dyDescent="0.3">
      <c r="A44" s="50" t="s">
        <v>2</v>
      </c>
      <c r="B44" s="370">
        <f>SUM(B36:B43)</f>
        <v>9</v>
      </c>
      <c r="C44" s="54">
        <f>SUM(C36:C43)</f>
        <v>7</v>
      </c>
      <c r="D44" s="59">
        <f>((C44/$B$30))-1</f>
        <v>2.5</v>
      </c>
      <c r="E44" s="54">
        <f>SUM(E36:E43)</f>
        <v>9</v>
      </c>
      <c r="F44" s="59">
        <f>((E44/$B$30))-1</f>
        <v>3.5</v>
      </c>
      <c r="G44" s="54">
        <f>SUM(G36:G43)</f>
        <v>7</v>
      </c>
      <c r="H44" s="59">
        <f>((G44/$B$30))-1</f>
        <v>2.5</v>
      </c>
      <c r="I44" s="53">
        <f t="shared" si="25"/>
        <v>23</v>
      </c>
      <c r="J44" s="408">
        <f t="shared" si="29"/>
        <v>-0.14814814814814814</v>
      </c>
      <c r="K44" s="403">
        <f>SUM(K36:K43)</f>
        <v>7</v>
      </c>
      <c r="L44" s="409">
        <f>((K44/$B44))-1</f>
        <v>-0.22222222222222221</v>
      </c>
      <c r="M44" s="403">
        <f>SUM(M36:M43)</f>
        <v>7</v>
      </c>
      <c r="N44" s="409">
        <f>((M44/$B$30))-1</f>
        <v>2.5</v>
      </c>
      <c r="O44" s="403">
        <f>SUM(O36:O43)</f>
        <v>7</v>
      </c>
      <c r="P44" s="409">
        <f>((O44/$B$30))-1</f>
        <v>2.5</v>
      </c>
      <c r="Q44" s="372">
        <f>K44+M44+O44</f>
        <v>21</v>
      </c>
      <c r="R44" s="404">
        <f>((Q44/(3*$B44)))-1</f>
        <v>-0.22222222222222221</v>
      </c>
    </row>
  </sheetData>
  <mergeCells count="5">
    <mergeCell ref="A5:R5"/>
    <mergeCell ref="A20:R20"/>
    <mergeCell ref="A2:R2"/>
    <mergeCell ref="A3:R3"/>
    <mergeCell ref="A34:R34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00BFF-FF90-4A28-9C41-2124E2C9E2DA}">
  <sheetPr>
    <tabColor rgb="FF7030A0"/>
    <pageSetUpPr fitToPage="1"/>
  </sheetPr>
  <dimension ref="A2:R46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9.42578125" customWidth="1"/>
    <col min="10" max="10" width="7.85546875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9.7109375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347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158</v>
      </c>
      <c r="B7" s="741">
        <v>3600</v>
      </c>
      <c r="C7" s="204">
        <v>2204</v>
      </c>
      <c r="D7" s="209">
        <f t="shared" ref="D7:D17" si="0">((C7/$B7))-1</f>
        <v>-0.38777777777777778</v>
      </c>
      <c r="E7" s="204">
        <v>1959</v>
      </c>
      <c r="F7" s="209">
        <f t="shared" ref="F7:F17" si="1">((E7/$B7))-1</f>
        <v>-0.45583333333333331</v>
      </c>
      <c r="G7" s="204">
        <v>2738</v>
      </c>
      <c r="H7" s="209">
        <f t="shared" ref="H7:H17" si="2">((G7/$B7))-1</f>
        <v>-0.23944444444444446</v>
      </c>
      <c r="I7" s="210">
        <f t="shared" ref="I7:I17" si="3">C7+E7+G7</f>
        <v>6901</v>
      </c>
      <c r="J7" s="211">
        <f t="shared" ref="J7:J17" si="4">((I7/(3*$B7)))-1</f>
        <v>-0.36101851851851852</v>
      </c>
      <c r="K7" s="204">
        <v>3257</v>
      </c>
      <c r="L7" s="209">
        <f t="shared" ref="L7:L17" si="5">((K7/$B7))-1</f>
        <v>-9.5277777777777795E-2</v>
      </c>
      <c r="M7" s="204">
        <v>2993</v>
      </c>
      <c r="N7" s="209">
        <f t="shared" ref="N7:N17" si="6">((M7/$B7))-1</f>
        <v>-0.16861111111111116</v>
      </c>
      <c r="O7" s="204">
        <v>2971</v>
      </c>
      <c r="P7" s="209">
        <f t="shared" ref="P7:P17" si="7">((O7/$B7))-1</f>
        <v>-0.17472222222222222</v>
      </c>
      <c r="Q7" s="210">
        <f t="shared" ref="Q7:Q17" si="8">K7+M7+O7</f>
        <v>9221</v>
      </c>
      <c r="R7" s="211">
        <f t="shared" ref="R7:R17" si="9">((Q7/(3*$B7)))-1</f>
        <v>-0.14620370370370372</v>
      </c>
    </row>
    <row r="8" spans="1:18" x14ac:dyDescent="0.25">
      <c r="A8" s="117" t="s">
        <v>159</v>
      </c>
      <c r="B8" s="738">
        <v>1248</v>
      </c>
      <c r="C8" s="736">
        <v>825</v>
      </c>
      <c r="D8" s="209">
        <f t="shared" si="0"/>
        <v>-0.33894230769230771</v>
      </c>
      <c r="E8" s="736">
        <v>927</v>
      </c>
      <c r="F8" s="209">
        <f t="shared" si="1"/>
        <v>-0.25721153846153844</v>
      </c>
      <c r="G8" s="736">
        <v>596</v>
      </c>
      <c r="H8" s="209">
        <f t="shared" si="2"/>
        <v>-0.52243589743589736</v>
      </c>
      <c r="I8" s="210">
        <f t="shared" si="3"/>
        <v>2348</v>
      </c>
      <c r="J8" s="211">
        <f t="shared" si="4"/>
        <v>-0.37286324786324787</v>
      </c>
      <c r="K8" s="736">
        <v>1213</v>
      </c>
      <c r="L8" s="209">
        <f t="shared" si="5"/>
        <v>-2.8044871794871806E-2</v>
      </c>
      <c r="M8" s="736">
        <v>987</v>
      </c>
      <c r="N8" s="209">
        <f t="shared" si="6"/>
        <v>-0.20913461538461542</v>
      </c>
      <c r="O8" s="736">
        <v>904</v>
      </c>
      <c r="P8" s="209">
        <f t="shared" si="7"/>
        <v>-0.27564102564102566</v>
      </c>
      <c r="Q8" s="210">
        <f t="shared" si="8"/>
        <v>3104</v>
      </c>
      <c r="R8" s="211">
        <f t="shared" si="9"/>
        <v>-0.17094017094017089</v>
      </c>
    </row>
    <row r="9" spans="1:18" x14ac:dyDescent="0.25">
      <c r="A9" s="117" t="s">
        <v>171</v>
      </c>
      <c r="B9" s="738">
        <v>469</v>
      </c>
      <c r="C9" s="736">
        <v>287</v>
      </c>
      <c r="D9" s="209">
        <f t="shared" si="0"/>
        <v>-0.38805970149253732</v>
      </c>
      <c r="E9" s="736">
        <v>397</v>
      </c>
      <c r="F9" s="209">
        <f t="shared" si="1"/>
        <v>-0.15351812366737738</v>
      </c>
      <c r="G9" s="736">
        <v>475</v>
      </c>
      <c r="H9" s="209">
        <f t="shared" si="2"/>
        <v>1.279317697228155E-2</v>
      </c>
      <c r="I9" s="210">
        <f t="shared" si="3"/>
        <v>1159</v>
      </c>
      <c r="J9" s="211">
        <f t="shared" si="4"/>
        <v>-0.17626154939587779</v>
      </c>
      <c r="K9" s="736">
        <v>623</v>
      </c>
      <c r="L9" s="209">
        <f t="shared" si="5"/>
        <v>0.32835820895522394</v>
      </c>
      <c r="M9" s="736">
        <v>558</v>
      </c>
      <c r="N9" s="209">
        <f t="shared" si="6"/>
        <v>0.18976545842217485</v>
      </c>
      <c r="O9" s="736">
        <v>521</v>
      </c>
      <c r="P9" s="209">
        <f t="shared" si="7"/>
        <v>0.11087420042643914</v>
      </c>
      <c r="Q9" s="210">
        <f t="shared" si="8"/>
        <v>1702</v>
      </c>
      <c r="R9" s="211">
        <f t="shared" si="9"/>
        <v>0.20966595593461257</v>
      </c>
    </row>
    <row r="10" spans="1:18" ht="24" x14ac:dyDescent="0.25">
      <c r="A10" s="853" t="s">
        <v>208</v>
      </c>
      <c r="B10" s="752">
        <v>192</v>
      </c>
      <c r="C10" s="456">
        <v>111</v>
      </c>
      <c r="D10" s="728">
        <f t="shared" si="0"/>
        <v>-0.421875</v>
      </c>
      <c r="E10" s="456">
        <v>206</v>
      </c>
      <c r="F10" s="728">
        <f t="shared" si="1"/>
        <v>7.2916666666666741E-2</v>
      </c>
      <c r="G10" s="456">
        <v>192</v>
      </c>
      <c r="H10" s="728">
        <f t="shared" si="2"/>
        <v>0</v>
      </c>
      <c r="I10" s="729">
        <f t="shared" si="3"/>
        <v>509</v>
      </c>
      <c r="J10" s="730">
        <f t="shared" si="4"/>
        <v>-0.11631944444444442</v>
      </c>
      <c r="K10" s="456">
        <v>139</v>
      </c>
      <c r="L10" s="728">
        <f t="shared" si="5"/>
        <v>-0.27604166666666663</v>
      </c>
      <c r="M10" s="456">
        <v>155</v>
      </c>
      <c r="N10" s="728">
        <f t="shared" si="6"/>
        <v>-0.19270833333333337</v>
      </c>
      <c r="O10" s="456">
        <v>224</v>
      </c>
      <c r="P10" s="728">
        <f t="shared" si="7"/>
        <v>0.16666666666666674</v>
      </c>
      <c r="Q10" s="729">
        <f t="shared" si="8"/>
        <v>518</v>
      </c>
      <c r="R10" s="730">
        <f t="shared" si="9"/>
        <v>-0.10069444444444442</v>
      </c>
    </row>
    <row r="11" spans="1:18" x14ac:dyDescent="0.25">
      <c r="A11" s="853" t="s">
        <v>209</v>
      </c>
      <c r="B11" s="315">
        <v>672</v>
      </c>
      <c r="C11" s="311">
        <v>787</v>
      </c>
      <c r="D11" s="314">
        <f t="shared" si="0"/>
        <v>0.17113095238095233</v>
      </c>
      <c r="E11" s="311">
        <v>787</v>
      </c>
      <c r="F11" s="314">
        <f t="shared" si="1"/>
        <v>0.17113095238095233</v>
      </c>
      <c r="G11" s="311">
        <v>714</v>
      </c>
      <c r="H11" s="314">
        <f t="shared" si="2"/>
        <v>6.25E-2</v>
      </c>
      <c r="I11" s="313">
        <f t="shared" si="3"/>
        <v>2288</v>
      </c>
      <c r="J11" s="318">
        <f t="shared" si="4"/>
        <v>0.13492063492063489</v>
      </c>
      <c r="K11" s="311">
        <v>476</v>
      </c>
      <c r="L11" s="314">
        <f t="shared" si="5"/>
        <v>-0.29166666666666663</v>
      </c>
      <c r="M11" s="311">
        <v>681</v>
      </c>
      <c r="N11" s="314">
        <f t="shared" si="6"/>
        <v>1.3392857142857206E-2</v>
      </c>
      <c r="O11" s="311">
        <v>694</v>
      </c>
      <c r="P11" s="314">
        <f t="shared" si="7"/>
        <v>3.2738095238095344E-2</v>
      </c>
      <c r="Q11" s="313">
        <f t="shared" si="8"/>
        <v>1851</v>
      </c>
      <c r="R11" s="318">
        <f t="shared" si="9"/>
        <v>-8.1845238095238138E-2</v>
      </c>
    </row>
    <row r="12" spans="1:18" ht="24" x14ac:dyDescent="0.25">
      <c r="A12" s="464" t="s">
        <v>201</v>
      </c>
      <c r="B12" s="315">
        <v>288</v>
      </c>
      <c r="C12" s="311">
        <v>0</v>
      </c>
      <c r="D12" s="314">
        <f t="shared" si="0"/>
        <v>-1</v>
      </c>
      <c r="E12" s="311">
        <v>0</v>
      </c>
      <c r="F12" s="314">
        <f t="shared" si="1"/>
        <v>-1</v>
      </c>
      <c r="G12" s="311">
        <v>0</v>
      </c>
      <c r="H12" s="314">
        <f t="shared" si="2"/>
        <v>-1</v>
      </c>
      <c r="I12" s="313">
        <f t="shared" si="3"/>
        <v>0</v>
      </c>
      <c r="J12" s="318">
        <f t="shared" si="4"/>
        <v>-1</v>
      </c>
      <c r="K12" s="311">
        <v>0</v>
      </c>
      <c r="L12" s="314">
        <f t="shared" si="5"/>
        <v>-1</v>
      </c>
      <c r="M12" s="311">
        <v>0</v>
      </c>
      <c r="N12" s="314">
        <f t="shared" si="6"/>
        <v>-1</v>
      </c>
      <c r="O12" s="311">
        <v>0</v>
      </c>
      <c r="P12" s="314">
        <f t="shared" si="7"/>
        <v>-1</v>
      </c>
      <c r="Q12" s="313">
        <f t="shared" si="8"/>
        <v>0</v>
      </c>
      <c r="R12" s="318">
        <f t="shared" si="9"/>
        <v>-1</v>
      </c>
    </row>
    <row r="13" spans="1:18" x14ac:dyDescent="0.25">
      <c r="A13" s="464" t="s">
        <v>176</v>
      </c>
      <c r="B13" s="315">
        <v>1008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0</v>
      </c>
      <c r="H13" s="314">
        <f t="shared" si="2"/>
        <v>-1</v>
      </c>
      <c r="I13" s="313">
        <f t="shared" si="3"/>
        <v>0</v>
      </c>
      <c r="J13" s="318">
        <f t="shared" si="4"/>
        <v>-1</v>
      </c>
      <c r="K13" s="311">
        <v>0</v>
      </c>
      <c r="L13" s="314">
        <f t="shared" si="5"/>
        <v>-1</v>
      </c>
      <c r="M13" s="311">
        <v>0</v>
      </c>
      <c r="N13" s="314">
        <f t="shared" si="6"/>
        <v>-1</v>
      </c>
      <c r="O13" s="311">
        <v>0</v>
      </c>
      <c r="P13" s="314">
        <f t="shared" si="7"/>
        <v>-1</v>
      </c>
      <c r="Q13" s="313">
        <f t="shared" si="8"/>
        <v>0</v>
      </c>
      <c r="R13" s="318">
        <f t="shared" si="9"/>
        <v>-1</v>
      </c>
    </row>
    <row r="14" spans="1:18" ht="15" customHeight="1" x14ac:dyDescent="0.25">
      <c r="A14" s="310" t="s">
        <v>172</v>
      </c>
      <c r="B14" s="315">
        <v>789</v>
      </c>
      <c r="C14" s="311">
        <v>348</v>
      </c>
      <c r="D14" s="314">
        <f t="shared" si="0"/>
        <v>-0.55893536121673004</v>
      </c>
      <c r="E14" s="311">
        <v>252</v>
      </c>
      <c r="F14" s="314">
        <f t="shared" si="1"/>
        <v>-0.68060836501901134</v>
      </c>
      <c r="G14" s="311">
        <v>85</v>
      </c>
      <c r="H14" s="314">
        <f t="shared" si="2"/>
        <v>-0.89226869455006341</v>
      </c>
      <c r="I14" s="313">
        <f t="shared" si="3"/>
        <v>685</v>
      </c>
      <c r="J14" s="318">
        <f t="shared" si="4"/>
        <v>-0.71060414026193497</v>
      </c>
      <c r="K14" s="311">
        <v>0</v>
      </c>
      <c r="L14" s="314">
        <f t="shared" si="5"/>
        <v>-1</v>
      </c>
      <c r="M14" s="311">
        <v>360</v>
      </c>
      <c r="N14" s="314">
        <f t="shared" si="6"/>
        <v>-0.54372623574144485</v>
      </c>
      <c r="O14" s="311">
        <v>450</v>
      </c>
      <c r="P14" s="314">
        <f t="shared" si="7"/>
        <v>-0.42965779467680609</v>
      </c>
      <c r="Q14" s="313">
        <f t="shared" si="8"/>
        <v>810</v>
      </c>
      <c r="R14" s="318">
        <f t="shared" si="9"/>
        <v>-0.65779467680608361</v>
      </c>
    </row>
    <row r="15" spans="1:18" ht="15" customHeight="1" x14ac:dyDescent="0.25">
      <c r="A15" s="310" t="s">
        <v>210</v>
      </c>
      <c r="B15" s="315">
        <v>789</v>
      </c>
      <c r="C15" s="311">
        <v>208</v>
      </c>
      <c r="D15" s="314">
        <f t="shared" si="0"/>
        <v>-0.73637515842839041</v>
      </c>
      <c r="E15" s="311">
        <v>169</v>
      </c>
      <c r="F15" s="314">
        <f t="shared" si="1"/>
        <v>-0.78580481622306719</v>
      </c>
      <c r="G15" s="311">
        <v>164</v>
      </c>
      <c r="H15" s="314">
        <f t="shared" si="2"/>
        <v>-0.79214195183776936</v>
      </c>
      <c r="I15" s="313">
        <f t="shared" si="3"/>
        <v>541</v>
      </c>
      <c r="J15" s="318">
        <f t="shared" si="4"/>
        <v>-0.77144064216307562</v>
      </c>
      <c r="K15" s="311">
        <v>209</v>
      </c>
      <c r="L15" s="314">
        <f t="shared" si="5"/>
        <v>-0.73510773130544993</v>
      </c>
      <c r="M15" s="311">
        <v>265</v>
      </c>
      <c r="N15" s="314">
        <f t="shared" si="6"/>
        <v>-0.66413181242078578</v>
      </c>
      <c r="O15" s="311">
        <v>185</v>
      </c>
      <c r="P15" s="314">
        <f t="shared" si="7"/>
        <v>-0.76552598225602031</v>
      </c>
      <c r="Q15" s="313">
        <f t="shared" si="8"/>
        <v>659</v>
      </c>
      <c r="R15" s="318">
        <f t="shared" si="9"/>
        <v>-0.72158850866075208</v>
      </c>
    </row>
    <row r="16" spans="1:18" ht="15.75" customHeight="1" thickBot="1" x14ac:dyDescent="0.3">
      <c r="A16" s="49" t="s">
        <v>162</v>
      </c>
      <c r="B16" s="727">
        <v>789</v>
      </c>
      <c r="C16" s="731">
        <v>427</v>
      </c>
      <c r="D16" s="330">
        <f t="shared" si="0"/>
        <v>-0.45880861850443599</v>
      </c>
      <c r="E16" s="731">
        <v>495</v>
      </c>
      <c r="F16" s="330">
        <f t="shared" si="1"/>
        <v>-0.37262357414448666</v>
      </c>
      <c r="G16" s="731">
        <v>391</v>
      </c>
      <c r="H16" s="330">
        <f t="shared" si="2"/>
        <v>-0.50443599493029145</v>
      </c>
      <c r="I16" s="331">
        <f t="shared" si="3"/>
        <v>1313</v>
      </c>
      <c r="J16" s="332">
        <f t="shared" si="4"/>
        <v>-0.44528939585973804</v>
      </c>
      <c r="K16" s="731">
        <v>358</v>
      </c>
      <c r="L16" s="330">
        <f t="shared" si="5"/>
        <v>-0.5462610899873257</v>
      </c>
      <c r="M16" s="731">
        <v>420</v>
      </c>
      <c r="N16" s="330">
        <f t="shared" si="6"/>
        <v>-0.46768060836501901</v>
      </c>
      <c r="O16" s="731">
        <v>461</v>
      </c>
      <c r="P16" s="330">
        <f t="shared" si="7"/>
        <v>-0.41571609632446138</v>
      </c>
      <c r="Q16" s="331">
        <f t="shared" si="8"/>
        <v>1239</v>
      </c>
      <c r="R16" s="332">
        <f t="shared" si="9"/>
        <v>-0.47655259822560203</v>
      </c>
    </row>
    <row r="17" spans="1:18" ht="15.75" customHeight="1" thickBot="1" x14ac:dyDescent="0.3">
      <c r="A17" s="50" t="s">
        <v>2</v>
      </c>
      <c r="B17" s="52">
        <f>SUM(B7:B16)</f>
        <v>9844</v>
      </c>
      <c r="C17" s="54">
        <f>SUM(C7:C16)</f>
        <v>5197</v>
      </c>
      <c r="D17" s="59">
        <f t="shared" si="0"/>
        <v>-0.47206420154408779</v>
      </c>
      <c r="E17" s="54">
        <f>SUM(E7:E16)</f>
        <v>5192</v>
      </c>
      <c r="F17" s="59">
        <f t="shared" si="1"/>
        <v>-0.47257212515237712</v>
      </c>
      <c r="G17" s="54">
        <f>SUM(G7:G16)</f>
        <v>5355</v>
      </c>
      <c r="H17" s="59">
        <f t="shared" si="2"/>
        <v>-0.45601381552214548</v>
      </c>
      <c r="I17" s="53">
        <f t="shared" si="3"/>
        <v>15744</v>
      </c>
      <c r="J17" s="60">
        <f t="shared" si="4"/>
        <v>-0.46688338073953672</v>
      </c>
      <c r="K17" s="54">
        <f>SUM(K7:K16)</f>
        <v>6275</v>
      </c>
      <c r="L17" s="59">
        <f t="shared" si="5"/>
        <v>-0.36255587159691183</v>
      </c>
      <c r="M17" s="54">
        <f>SUM(M7:M16)</f>
        <v>6419</v>
      </c>
      <c r="N17" s="59">
        <f t="shared" si="6"/>
        <v>-0.34792767167817962</v>
      </c>
      <c r="O17" s="54">
        <f>SUM(O7:O16)</f>
        <v>6410</v>
      </c>
      <c r="P17" s="59">
        <f t="shared" si="7"/>
        <v>-0.34884193417310039</v>
      </c>
      <c r="Q17" s="53">
        <f t="shared" si="8"/>
        <v>19104</v>
      </c>
      <c r="R17" s="398">
        <f t="shared" si="9"/>
        <v>-0.35310849248273057</v>
      </c>
    </row>
    <row r="18" spans="1:18" ht="15" hidden="1" customHeight="1" x14ac:dyDescent="0.25"/>
    <row r="19" spans="1:18" ht="15" hidden="1" customHeight="1" x14ac:dyDescent="0.25"/>
    <row r="20" spans="1:18" ht="15.75" hidden="1" customHeight="1" x14ac:dyDescent="0.25">
      <c r="A20" s="803" t="s">
        <v>348</v>
      </c>
      <c r="B20" s="802"/>
      <c r="C20" s="802"/>
      <c r="D20" s="802"/>
      <c r="E20" s="802"/>
      <c r="F20" s="802"/>
      <c r="G20" s="802"/>
      <c r="H20" s="802"/>
      <c r="I20" s="802"/>
      <c r="J20" s="802"/>
      <c r="K20" s="802"/>
      <c r="L20" s="802"/>
      <c r="M20" s="802"/>
      <c r="N20" s="802"/>
      <c r="O20" s="802"/>
      <c r="P20" s="802"/>
      <c r="Q20" s="802"/>
      <c r="R20" s="802"/>
    </row>
    <row r="21" spans="1:18" ht="24.75" hidden="1" customHeight="1" thickBot="1" x14ac:dyDescent="0.3">
      <c r="A21" s="120" t="s">
        <v>8</v>
      </c>
      <c r="B21" s="746" t="s">
        <v>9</v>
      </c>
      <c r="C21" s="122" t="str">
        <f>'UBS Vila Dalva 2º SEM'!C6</f>
        <v>JUL</v>
      </c>
      <c r="D21" s="123" t="str">
        <f>'UBS Vila Dalva 2º SEM'!D6</f>
        <v>%</v>
      </c>
      <c r="E21" s="122" t="str">
        <f>'UBS Vila Dalva 2º SEM'!E6</f>
        <v>AGO</v>
      </c>
      <c r="F21" s="123" t="str">
        <f>'UBS Vila Dalva 2º SEM'!F6</f>
        <v>%</v>
      </c>
      <c r="G21" s="122" t="str">
        <f>'UBS Vila Dalva 2º SEM'!G6</f>
        <v>SET</v>
      </c>
      <c r="H21" s="123" t="str">
        <f>'UBS Vila Dalva 2º SEM'!H6</f>
        <v>%</v>
      </c>
      <c r="I21" s="124" t="str">
        <f>'UBS Vila Dalva 2º SEM'!I6</f>
        <v>Trimestre</v>
      </c>
      <c r="J21" s="124" t="str">
        <f>'UBS Vila Dalva 2º SEM'!J6</f>
        <v>%</v>
      </c>
      <c r="K21" s="122" t="str">
        <f>'UBS Vila Dalva 2º SEM'!K6</f>
        <v>OUT</v>
      </c>
      <c r="L21" s="123" t="str">
        <f>'UBS Vila Dalva 2º SEM'!L6</f>
        <v>%</v>
      </c>
      <c r="M21" s="122" t="str">
        <f>'UBS Vila Dalva 2º SEM'!M6</f>
        <v>NOV</v>
      </c>
      <c r="N21" s="123" t="str">
        <f>'UBS Vila Dalva 2º SEM'!N6</f>
        <v>%</v>
      </c>
      <c r="O21" s="122" t="str">
        <f>'UBS Vila Dalva 2º SEM'!O6</f>
        <v>DEZ</v>
      </c>
      <c r="P21" s="123" t="str">
        <f>'UBS Vila Dalva 2º SEM'!P6</f>
        <v>%</v>
      </c>
      <c r="Q21" s="124" t="str">
        <f>'UBS Vila Dalva 2º SEM'!Q6</f>
        <v>Trimestre</v>
      </c>
      <c r="R21" s="124" t="str">
        <f>'UBS Vila Dalva 2º SEM'!R6</f>
        <v>%</v>
      </c>
    </row>
    <row r="22" spans="1:18" ht="15.75" hidden="1" customHeight="1" thickTop="1" x14ac:dyDescent="0.25">
      <c r="A22" s="117" t="s">
        <v>164</v>
      </c>
      <c r="B22" s="751">
        <v>18</v>
      </c>
      <c r="C22" s="204">
        <v>15</v>
      </c>
      <c r="D22" s="209">
        <f t="shared" ref="D22:D32" si="10">((C22/$B22))-1</f>
        <v>-0.16666666666666663</v>
      </c>
      <c r="E22" s="204">
        <v>18</v>
      </c>
      <c r="F22" s="209">
        <f t="shared" ref="F22:F32" si="11">((E22/$B22))-1</f>
        <v>0</v>
      </c>
      <c r="G22" s="204">
        <v>18</v>
      </c>
      <c r="H22" s="209">
        <f t="shared" ref="H22:H32" si="12">((G22/$B22))-1</f>
        <v>0</v>
      </c>
      <c r="I22" s="210">
        <f t="shared" ref="I22:I32" si="13">C22+E22+G22</f>
        <v>51</v>
      </c>
      <c r="J22" s="211">
        <f t="shared" ref="J22:J32" si="14">((I22/(3*$B22)))-1</f>
        <v>-5.555555555555558E-2</v>
      </c>
      <c r="K22" s="204">
        <v>18</v>
      </c>
      <c r="L22" s="209">
        <f t="shared" ref="L22:L32" si="15">((K22/$B22))-1</f>
        <v>0</v>
      </c>
      <c r="M22" s="204"/>
      <c r="N22" s="209">
        <f t="shared" ref="N22:N32" si="16">((M22/$B22))-1</f>
        <v>-1</v>
      </c>
      <c r="O22" s="204"/>
      <c r="P22" s="209">
        <f t="shared" ref="P22:P32" si="17">((O22/$B22))-1</f>
        <v>-1</v>
      </c>
      <c r="Q22" s="210">
        <f t="shared" ref="Q22:Q32" si="18">K22+M22+O22</f>
        <v>18</v>
      </c>
      <c r="R22" s="211">
        <f t="shared" ref="R22:R32" si="19">((Q22/(3*$B22)))-1</f>
        <v>-0.66666666666666674</v>
      </c>
    </row>
    <row r="23" spans="1:18" ht="15" hidden="1" customHeight="1" x14ac:dyDescent="0.25">
      <c r="A23" s="117" t="s">
        <v>165</v>
      </c>
      <c r="B23" s="748">
        <v>3</v>
      </c>
      <c r="C23" s="749">
        <v>2.5</v>
      </c>
      <c r="D23" s="209">
        <f t="shared" si="10"/>
        <v>-0.16666666666666663</v>
      </c>
      <c r="E23" s="749">
        <v>2.5</v>
      </c>
      <c r="F23" s="209">
        <f t="shared" si="11"/>
        <v>-0.16666666666666663</v>
      </c>
      <c r="G23" s="749">
        <v>2.5</v>
      </c>
      <c r="H23" s="209">
        <f t="shared" si="12"/>
        <v>-0.16666666666666663</v>
      </c>
      <c r="I23" s="210">
        <f t="shared" si="13"/>
        <v>7.5</v>
      </c>
      <c r="J23" s="211">
        <f t="shared" si="14"/>
        <v>-0.16666666666666663</v>
      </c>
      <c r="K23" s="736">
        <v>3</v>
      </c>
      <c r="L23" s="209">
        <f t="shared" si="15"/>
        <v>0</v>
      </c>
      <c r="M23" s="749"/>
      <c r="N23" s="209">
        <f t="shared" si="16"/>
        <v>-1</v>
      </c>
      <c r="O23" s="749"/>
      <c r="P23" s="209">
        <f t="shared" si="17"/>
        <v>-1</v>
      </c>
      <c r="Q23" s="210">
        <f t="shared" si="18"/>
        <v>3</v>
      </c>
      <c r="R23" s="211">
        <f t="shared" si="19"/>
        <v>-0.66666666666666674</v>
      </c>
    </row>
    <row r="24" spans="1:18" ht="15" hidden="1" customHeight="1" x14ac:dyDescent="0.25">
      <c r="A24" s="117" t="s">
        <v>186</v>
      </c>
      <c r="B24" s="748">
        <v>3</v>
      </c>
      <c r="C24" s="750">
        <v>3</v>
      </c>
      <c r="D24" s="209">
        <f t="shared" si="10"/>
        <v>0</v>
      </c>
      <c r="E24" s="749">
        <v>3</v>
      </c>
      <c r="F24" s="209">
        <f t="shared" si="11"/>
        <v>0</v>
      </c>
      <c r="G24" s="736">
        <v>3</v>
      </c>
      <c r="H24" s="209">
        <f t="shared" si="12"/>
        <v>0</v>
      </c>
      <c r="I24" s="210">
        <f t="shared" si="13"/>
        <v>9</v>
      </c>
      <c r="J24" s="211">
        <f t="shared" si="14"/>
        <v>0</v>
      </c>
      <c r="K24" s="736">
        <v>3</v>
      </c>
      <c r="L24" s="209">
        <f t="shared" si="15"/>
        <v>0</v>
      </c>
      <c r="M24" s="736"/>
      <c r="N24" s="209">
        <f t="shared" si="16"/>
        <v>-1</v>
      </c>
      <c r="O24" s="736"/>
      <c r="P24" s="209">
        <f t="shared" si="17"/>
        <v>-1</v>
      </c>
      <c r="Q24" s="210">
        <f t="shared" si="18"/>
        <v>3</v>
      </c>
      <c r="R24" s="211">
        <f t="shared" si="19"/>
        <v>-0.66666666666666674</v>
      </c>
    </row>
    <row r="25" spans="1:18" ht="15" hidden="1" customHeight="1" x14ac:dyDescent="0.25">
      <c r="A25" s="384" t="s">
        <v>211</v>
      </c>
      <c r="B25" s="748">
        <v>1</v>
      </c>
      <c r="C25" s="736">
        <v>1</v>
      </c>
      <c r="D25" s="209">
        <f t="shared" si="10"/>
        <v>0</v>
      </c>
      <c r="E25" s="736">
        <v>1</v>
      </c>
      <c r="F25" s="209">
        <f t="shared" si="11"/>
        <v>0</v>
      </c>
      <c r="G25" s="736">
        <v>1</v>
      </c>
      <c r="H25" s="209">
        <f t="shared" si="12"/>
        <v>0</v>
      </c>
      <c r="I25" s="210">
        <f t="shared" si="13"/>
        <v>3</v>
      </c>
      <c r="J25" s="211">
        <f t="shared" si="14"/>
        <v>0</v>
      </c>
      <c r="K25" s="736">
        <v>1</v>
      </c>
      <c r="L25" s="209">
        <f t="shared" si="15"/>
        <v>0</v>
      </c>
      <c r="M25" s="736"/>
      <c r="N25" s="209">
        <f t="shared" si="16"/>
        <v>-1</v>
      </c>
      <c r="O25" s="749"/>
      <c r="P25" s="209">
        <f t="shared" si="17"/>
        <v>-1</v>
      </c>
      <c r="Q25" s="210">
        <f t="shared" si="18"/>
        <v>1</v>
      </c>
      <c r="R25" s="211">
        <f t="shared" si="19"/>
        <v>-0.66666666666666674</v>
      </c>
    </row>
    <row r="26" spans="1:18" ht="15" hidden="1" customHeight="1" x14ac:dyDescent="0.25">
      <c r="A26" s="310" t="s">
        <v>206</v>
      </c>
      <c r="B26" s="748">
        <v>3</v>
      </c>
      <c r="C26" s="736">
        <v>1</v>
      </c>
      <c r="D26" s="209">
        <f t="shared" si="10"/>
        <v>-0.66666666666666674</v>
      </c>
      <c r="E26" s="736">
        <v>1</v>
      </c>
      <c r="F26" s="209">
        <f t="shared" si="11"/>
        <v>-0.66666666666666674</v>
      </c>
      <c r="G26" s="736">
        <v>1</v>
      </c>
      <c r="H26" s="209">
        <f t="shared" si="12"/>
        <v>-0.66666666666666674</v>
      </c>
      <c r="I26" s="210">
        <f t="shared" si="13"/>
        <v>3</v>
      </c>
      <c r="J26" s="211">
        <f t="shared" si="14"/>
        <v>-0.66666666666666674</v>
      </c>
      <c r="K26" s="736">
        <v>1</v>
      </c>
      <c r="L26" s="209">
        <f t="shared" si="15"/>
        <v>-0.66666666666666674</v>
      </c>
      <c r="M26" s="736"/>
      <c r="N26" s="209">
        <f t="shared" si="16"/>
        <v>-1</v>
      </c>
      <c r="O26" s="736"/>
      <c r="P26" s="209">
        <f t="shared" si="17"/>
        <v>-1</v>
      </c>
      <c r="Q26" s="210">
        <f t="shared" si="18"/>
        <v>1</v>
      </c>
      <c r="R26" s="211">
        <f t="shared" si="19"/>
        <v>-0.88888888888888884</v>
      </c>
    </row>
    <row r="27" spans="1:18" ht="15" hidden="1" customHeight="1" x14ac:dyDescent="0.25">
      <c r="A27" s="310" t="s">
        <v>167</v>
      </c>
      <c r="B27" s="748">
        <v>3</v>
      </c>
      <c r="C27" s="736">
        <v>1</v>
      </c>
      <c r="D27" s="209">
        <f t="shared" si="10"/>
        <v>-0.66666666666666674</v>
      </c>
      <c r="E27" s="736">
        <v>1</v>
      </c>
      <c r="F27" s="209">
        <f t="shared" si="11"/>
        <v>-0.66666666666666674</v>
      </c>
      <c r="G27" s="736">
        <v>1</v>
      </c>
      <c r="H27" s="209">
        <f t="shared" si="12"/>
        <v>-0.66666666666666674</v>
      </c>
      <c r="I27" s="210">
        <f t="shared" si="13"/>
        <v>3</v>
      </c>
      <c r="J27" s="211">
        <f t="shared" si="14"/>
        <v>-0.66666666666666674</v>
      </c>
      <c r="K27" s="736">
        <v>0</v>
      </c>
      <c r="L27" s="209">
        <f t="shared" si="15"/>
        <v>-1</v>
      </c>
      <c r="M27" s="736"/>
      <c r="N27" s="209">
        <f t="shared" si="16"/>
        <v>-1</v>
      </c>
      <c r="O27" s="736"/>
      <c r="P27" s="209">
        <f t="shared" si="17"/>
        <v>-1</v>
      </c>
      <c r="Q27" s="210">
        <f t="shared" si="18"/>
        <v>0</v>
      </c>
      <c r="R27" s="211">
        <f t="shared" si="19"/>
        <v>-1</v>
      </c>
    </row>
    <row r="28" spans="1:18" ht="15" hidden="1" customHeight="1" x14ac:dyDescent="0.25">
      <c r="A28" s="323" t="s">
        <v>212</v>
      </c>
      <c r="B28" s="747">
        <v>3</v>
      </c>
      <c r="C28" s="456">
        <v>2</v>
      </c>
      <c r="D28" s="728">
        <f t="shared" si="10"/>
        <v>-0.33333333333333337</v>
      </c>
      <c r="E28" s="456">
        <v>2</v>
      </c>
      <c r="F28" s="728">
        <f t="shared" si="11"/>
        <v>-0.33333333333333337</v>
      </c>
      <c r="G28" s="456">
        <v>1</v>
      </c>
      <c r="H28" s="728">
        <f t="shared" si="12"/>
        <v>-0.66666666666666674</v>
      </c>
      <c r="I28" s="729">
        <f t="shared" si="13"/>
        <v>5</v>
      </c>
      <c r="J28" s="730">
        <f t="shared" si="14"/>
        <v>-0.44444444444444442</v>
      </c>
      <c r="K28" s="456">
        <v>1</v>
      </c>
      <c r="L28" s="728">
        <f t="shared" si="15"/>
        <v>-0.66666666666666674</v>
      </c>
      <c r="M28" s="456"/>
      <c r="N28" s="728">
        <f t="shared" si="16"/>
        <v>-1</v>
      </c>
      <c r="O28" s="456"/>
      <c r="P28" s="728">
        <f t="shared" si="17"/>
        <v>-1</v>
      </c>
      <c r="Q28" s="729">
        <f t="shared" si="18"/>
        <v>1</v>
      </c>
      <c r="R28" s="730">
        <f t="shared" si="19"/>
        <v>-0.88888888888888884</v>
      </c>
    </row>
    <row r="29" spans="1:18" ht="15" hidden="1" customHeight="1" x14ac:dyDescent="0.25">
      <c r="A29" s="310" t="s">
        <v>168</v>
      </c>
      <c r="B29" s="335">
        <v>3</v>
      </c>
      <c r="C29" s="311">
        <v>2</v>
      </c>
      <c r="D29" s="314">
        <f t="shared" si="10"/>
        <v>-0.33333333333333337</v>
      </c>
      <c r="E29" s="311">
        <v>2</v>
      </c>
      <c r="F29" s="314">
        <f t="shared" si="11"/>
        <v>-0.33333333333333337</v>
      </c>
      <c r="G29" s="311">
        <v>2</v>
      </c>
      <c r="H29" s="314">
        <f t="shared" si="12"/>
        <v>-0.33333333333333337</v>
      </c>
      <c r="I29" s="313">
        <f t="shared" si="13"/>
        <v>6</v>
      </c>
      <c r="J29" s="318">
        <f t="shared" si="14"/>
        <v>-0.33333333333333337</v>
      </c>
      <c r="K29" s="311">
        <v>2</v>
      </c>
      <c r="L29" s="314">
        <f t="shared" si="15"/>
        <v>-0.33333333333333337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2</v>
      </c>
      <c r="R29" s="318">
        <f t="shared" si="19"/>
        <v>-0.77777777777777779</v>
      </c>
    </row>
    <row r="30" spans="1:18" ht="15" hidden="1" customHeight="1" x14ac:dyDescent="0.25">
      <c r="A30" s="310" t="s">
        <v>184</v>
      </c>
      <c r="B30" s="335">
        <v>2</v>
      </c>
      <c r="C30" s="311">
        <v>2</v>
      </c>
      <c r="D30" s="314">
        <f t="shared" si="10"/>
        <v>0</v>
      </c>
      <c r="E30" s="311">
        <v>2</v>
      </c>
      <c r="F30" s="314">
        <f t="shared" si="11"/>
        <v>0</v>
      </c>
      <c r="G30" s="311">
        <v>2</v>
      </c>
      <c r="H30" s="314">
        <f t="shared" si="12"/>
        <v>0</v>
      </c>
      <c r="I30" s="313">
        <f t="shared" si="13"/>
        <v>6</v>
      </c>
      <c r="J30" s="318">
        <f t="shared" si="14"/>
        <v>0</v>
      </c>
      <c r="K30" s="311">
        <v>2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2</v>
      </c>
      <c r="R30" s="318">
        <f t="shared" si="19"/>
        <v>-0.66666666666666674</v>
      </c>
    </row>
    <row r="31" spans="1:18" ht="15.75" hidden="1" customHeight="1" thickBot="1" x14ac:dyDescent="0.25">
      <c r="A31" s="323" t="s">
        <v>170</v>
      </c>
      <c r="B31" s="342">
        <v>4</v>
      </c>
      <c r="C31" s="329">
        <v>4</v>
      </c>
      <c r="D31" s="330">
        <f t="shared" si="10"/>
        <v>0</v>
      </c>
      <c r="E31" s="329">
        <v>4</v>
      </c>
      <c r="F31" s="330">
        <f t="shared" si="11"/>
        <v>0</v>
      </c>
      <c r="G31" s="329">
        <v>4</v>
      </c>
      <c r="H31" s="330">
        <f t="shared" si="12"/>
        <v>0</v>
      </c>
      <c r="I31" s="331">
        <f t="shared" si="13"/>
        <v>12</v>
      </c>
      <c r="J31" s="332">
        <f t="shared" si="14"/>
        <v>0</v>
      </c>
      <c r="K31" s="329">
        <v>4</v>
      </c>
      <c r="L31" s="330">
        <f t="shared" si="15"/>
        <v>0</v>
      </c>
      <c r="M31" s="329"/>
      <c r="N31" s="330">
        <f t="shared" si="16"/>
        <v>-1</v>
      </c>
      <c r="O31" s="329"/>
      <c r="P31" s="330">
        <f t="shared" si="17"/>
        <v>-1</v>
      </c>
      <c r="Q31" s="331">
        <f t="shared" si="18"/>
        <v>4</v>
      </c>
      <c r="R31" s="332">
        <f t="shared" si="19"/>
        <v>-0.66666666666666674</v>
      </c>
    </row>
    <row r="32" spans="1:18" ht="15.75" hidden="1" customHeight="1" thickBot="1" x14ac:dyDescent="0.3">
      <c r="A32" s="50" t="s">
        <v>2</v>
      </c>
      <c r="B32" s="370">
        <f>SUM(B22:B31)</f>
        <v>43</v>
      </c>
      <c r="C32" s="54">
        <f>SUM(C22:C31)</f>
        <v>33.5</v>
      </c>
      <c r="D32" s="59">
        <f t="shared" si="10"/>
        <v>-0.22093023255813948</v>
      </c>
      <c r="E32" s="54">
        <f>SUM(E22:E31)</f>
        <v>36.5</v>
      </c>
      <c r="F32" s="59">
        <f t="shared" si="11"/>
        <v>-0.15116279069767447</v>
      </c>
      <c r="G32" s="54">
        <f>SUM(G22:G31)</f>
        <v>35.5</v>
      </c>
      <c r="H32" s="59">
        <f t="shared" si="12"/>
        <v>-0.17441860465116277</v>
      </c>
      <c r="I32" s="53">
        <f t="shared" si="13"/>
        <v>105.5</v>
      </c>
      <c r="J32" s="60">
        <f t="shared" si="14"/>
        <v>-0.18217054263565891</v>
      </c>
      <c r="K32" s="54">
        <f>SUM(K22:K31)</f>
        <v>35</v>
      </c>
      <c r="L32" s="59">
        <f t="shared" si="15"/>
        <v>-0.18604651162790697</v>
      </c>
      <c r="M32" s="54">
        <f>SUM(M22:M31)</f>
        <v>0</v>
      </c>
      <c r="N32" s="59">
        <f t="shared" si="16"/>
        <v>-1</v>
      </c>
      <c r="O32" s="54">
        <f>SUM(O22:O31)</f>
        <v>0</v>
      </c>
      <c r="P32" s="59">
        <f t="shared" si="17"/>
        <v>-1</v>
      </c>
      <c r="Q32" s="53">
        <f t="shared" si="18"/>
        <v>35</v>
      </c>
      <c r="R32" s="398">
        <f t="shared" si="19"/>
        <v>-0.72868217054263562</v>
      </c>
    </row>
    <row r="33" spans="1:18" ht="15" hidden="1" customHeight="1" x14ac:dyDescent="0.25"/>
    <row r="34" spans="1:18" ht="15.75" hidden="1" customHeight="1" x14ac:dyDescent="0.25">
      <c r="A34" s="808" t="s">
        <v>349</v>
      </c>
      <c r="B34" s="802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</row>
    <row r="35" spans="1:18" ht="24.75" hidden="1" customHeight="1" thickBot="1" x14ac:dyDescent="0.3">
      <c r="A35" s="122" t="s">
        <v>8</v>
      </c>
      <c r="B35" s="746" t="s">
        <v>9</v>
      </c>
      <c r="C35" s="122" t="str">
        <f t="shared" ref="C35:R35" si="20">C21</f>
        <v>JUL</v>
      </c>
      <c r="D35" s="123" t="str">
        <f t="shared" si="20"/>
        <v>%</v>
      </c>
      <c r="E35" s="122" t="str">
        <f t="shared" si="20"/>
        <v>AGO</v>
      </c>
      <c r="F35" s="123" t="str">
        <f t="shared" si="20"/>
        <v>%</v>
      </c>
      <c r="G35" s="122" t="str">
        <f t="shared" si="20"/>
        <v>SET</v>
      </c>
      <c r="H35" s="123" t="str">
        <f t="shared" si="20"/>
        <v>%</v>
      </c>
      <c r="I35" s="124" t="str">
        <f t="shared" si="20"/>
        <v>Trimestre</v>
      </c>
      <c r="J35" s="124" t="str">
        <f t="shared" si="20"/>
        <v>%</v>
      </c>
      <c r="K35" s="122" t="str">
        <f t="shared" si="20"/>
        <v>OUT</v>
      </c>
      <c r="L35" s="123" t="str">
        <f t="shared" si="20"/>
        <v>%</v>
      </c>
      <c r="M35" s="122" t="str">
        <f t="shared" si="20"/>
        <v>NOV</v>
      </c>
      <c r="N35" s="123" t="str">
        <f t="shared" si="20"/>
        <v>%</v>
      </c>
      <c r="O35" s="122" t="str">
        <f t="shared" si="20"/>
        <v>DEZ</v>
      </c>
      <c r="P35" s="123" t="str">
        <f t="shared" si="20"/>
        <v>%</v>
      </c>
      <c r="Q35" s="124" t="str">
        <f t="shared" si="20"/>
        <v>Trimestre</v>
      </c>
      <c r="R35" s="124" t="str">
        <f t="shared" si="20"/>
        <v>%</v>
      </c>
    </row>
    <row r="36" spans="1:18" ht="15.75" hidden="1" customHeight="1" thickTop="1" x14ac:dyDescent="0.25">
      <c r="A36" s="739" t="s">
        <v>219</v>
      </c>
      <c r="B36" s="745">
        <v>1</v>
      </c>
      <c r="C36" s="736">
        <v>1</v>
      </c>
      <c r="D36" s="735">
        <f t="shared" ref="D36:D43" si="21">$D$32</f>
        <v>-0.22093023255813948</v>
      </c>
      <c r="E36" s="736">
        <v>1</v>
      </c>
      <c r="F36" s="735">
        <f>$D$32</f>
        <v>-0.22093023255813948</v>
      </c>
      <c r="G36" s="736">
        <v>1</v>
      </c>
      <c r="H36" s="735">
        <f>$D$32</f>
        <v>-0.22093023255813948</v>
      </c>
      <c r="I36" s="210">
        <f t="shared" ref="I36:I44" si="22">C36+E36+G36</f>
        <v>3</v>
      </c>
      <c r="J36" s="734">
        <f t="shared" ref="J36:J44" si="23">((I36/(3*$B36)))-1</f>
        <v>0</v>
      </c>
      <c r="K36" s="736">
        <v>1</v>
      </c>
      <c r="L36" s="737">
        <f t="shared" ref="L36:L44" si="24">((K36/$B36))-1</f>
        <v>0</v>
      </c>
      <c r="M36" s="736"/>
      <c r="N36" s="735">
        <f>$D$32</f>
        <v>-0.22093023255813948</v>
      </c>
      <c r="O36" s="736"/>
      <c r="P36" s="735">
        <f>$D$32</f>
        <v>-0.22093023255813948</v>
      </c>
      <c r="Q36" s="210">
        <f t="shared" ref="Q36:Q44" si="25">K36+M36+O36</f>
        <v>1</v>
      </c>
      <c r="R36" s="734">
        <f t="shared" ref="R36:R44" si="26">((Q36/(3*$B36)))-1</f>
        <v>-0.66666666666666674</v>
      </c>
    </row>
    <row r="37" spans="1:18" hidden="1" x14ac:dyDescent="0.25">
      <c r="A37" s="739" t="s">
        <v>220</v>
      </c>
      <c r="B37" s="745">
        <v>2</v>
      </c>
      <c r="C37" s="736">
        <v>2</v>
      </c>
      <c r="D37" s="735">
        <f t="shared" si="21"/>
        <v>-0.22093023255813948</v>
      </c>
      <c r="E37" s="736">
        <v>2</v>
      </c>
      <c r="F37" s="735">
        <f>$D$32</f>
        <v>-0.22093023255813948</v>
      </c>
      <c r="G37" s="736">
        <v>2</v>
      </c>
      <c r="H37" s="735">
        <f>$D$32</f>
        <v>-0.22093023255813948</v>
      </c>
      <c r="I37" s="210">
        <f t="shared" si="22"/>
        <v>6</v>
      </c>
      <c r="J37" s="734">
        <f t="shared" si="23"/>
        <v>0</v>
      </c>
      <c r="K37" s="736">
        <v>2</v>
      </c>
      <c r="L37" s="737">
        <f t="shared" si="24"/>
        <v>0</v>
      </c>
      <c r="M37" s="736"/>
      <c r="N37" s="735">
        <f>$D$32</f>
        <v>-0.22093023255813948</v>
      </c>
      <c r="O37" s="736"/>
      <c r="P37" s="735">
        <f>$D$32</f>
        <v>-0.22093023255813948</v>
      </c>
      <c r="Q37" s="210">
        <f t="shared" si="25"/>
        <v>2</v>
      </c>
      <c r="R37" s="734">
        <f t="shared" si="26"/>
        <v>-0.66666666666666674</v>
      </c>
    </row>
    <row r="38" spans="1:18" hidden="1" x14ac:dyDescent="0.25">
      <c r="A38" s="739" t="s">
        <v>217</v>
      </c>
      <c r="B38" s="745">
        <v>1</v>
      </c>
      <c r="C38" s="736">
        <v>1</v>
      </c>
      <c r="D38" s="735">
        <f t="shared" si="21"/>
        <v>-0.22093023255813948</v>
      </c>
      <c r="E38" s="736">
        <v>1</v>
      </c>
      <c r="F38" s="735">
        <f>$D$32</f>
        <v>-0.22093023255813948</v>
      </c>
      <c r="G38" s="736">
        <v>1</v>
      </c>
      <c r="H38" s="735">
        <f>$D$32</f>
        <v>-0.22093023255813948</v>
      </c>
      <c r="I38" s="210">
        <f t="shared" si="22"/>
        <v>3</v>
      </c>
      <c r="J38" s="734">
        <f t="shared" si="23"/>
        <v>0</v>
      </c>
      <c r="K38" s="736">
        <v>1</v>
      </c>
      <c r="L38" s="737">
        <f t="shared" si="24"/>
        <v>0</v>
      </c>
      <c r="M38" s="736"/>
      <c r="N38" s="735">
        <f>$D$32</f>
        <v>-0.22093023255813948</v>
      </c>
      <c r="O38" s="736"/>
      <c r="P38" s="735">
        <f>$D$32</f>
        <v>-0.22093023255813948</v>
      </c>
      <c r="Q38" s="210">
        <f t="shared" si="25"/>
        <v>1</v>
      </c>
      <c r="R38" s="734">
        <f t="shared" si="26"/>
        <v>-0.66666666666666674</v>
      </c>
    </row>
    <row r="39" spans="1:18" hidden="1" x14ac:dyDescent="0.25">
      <c r="A39" s="739" t="s">
        <v>168</v>
      </c>
      <c r="B39" s="745">
        <v>1</v>
      </c>
      <c r="C39" s="736">
        <v>1</v>
      </c>
      <c r="D39" s="735">
        <f t="shared" si="21"/>
        <v>-0.22093023255813948</v>
      </c>
      <c r="E39" s="736">
        <v>1</v>
      </c>
      <c r="F39" s="735">
        <f>$D$32</f>
        <v>-0.22093023255813948</v>
      </c>
      <c r="G39" s="736">
        <v>1</v>
      </c>
      <c r="H39" s="735">
        <f>$D$32</f>
        <v>-0.22093023255813948</v>
      </c>
      <c r="I39" s="210">
        <f t="shared" si="22"/>
        <v>3</v>
      </c>
      <c r="J39" s="734">
        <f t="shared" si="23"/>
        <v>0</v>
      </c>
      <c r="K39" s="736">
        <v>1</v>
      </c>
      <c r="L39" s="737">
        <f t="shared" si="24"/>
        <v>0</v>
      </c>
      <c r="M39" s="736"/>
      <c r="N39" s="735">
        <f>$D$32</f>
        <v>-0.22093023255813948</v>
      </c>
      <c r="O39" s="736"/>
      <c r="P39" s="735">
        <f>$D$32</f>
        <v>-0.22093023255813948</v>
      </c>
      <c r="Q39" s="210">
        <f t="shared" si="25"/>
        <v>1</v>
      </c>
      <c r="R39" s="734">
        <f t="shared" si="26"/>
        <v>-0.66666666666666674</v>
      </c>
    </row>
    <row r="40" spans="1:18" hidden="1" x14ac:dyDescent="0.25">
      <c r="A40" s="739" t="s">
        <v>207</v>
      </c>
      <c r="B40" s="745">
        <v>1</v>
      </c>
      <c r="C40" s="736">
        <v>0</v>
      </c>
      <c r="D40" s="735">
        <f t="shared" si="21"/>
        <v>-0.22093023255813948</v>
      </c>
      <c r="E40" s="736">
        <v>0</v>
      </c>
      <c r="F40" s="735">
        <f>((E40/$B$27))-1</f>
        <v>-1</v>
      </c>
      <c r="G40" s="736">
        <v>0</v>
      </c>
      <c r="H40" s="735">
        <f>((G40/$B$27))-1</f>
        <v>-1</v>
      </c>
      <c r="I40" s="210">
        <f t="shared" si="22"/>
        <v>0</v>
      </c>
      <c r="J40" s="734">
        <f t="shared" si="23"/>
        <v>-1</v>
      </c>
      <c r="K40" s="736">
        <v>0</v>
      </c>
      <c r="L40" s="737">
        <f t="shared" si="24"/>
        <v>-1</v>
      </c>
      <c r="M40" s="736"/>
      <c r="N40" s="735">
        <f>((M40/$B$27))-1</f>
        <v>-1</v>
      </c>
      <c r="O40" s="736"/>
      <c r="P40" s="735">
        <f>((O40/$B$27))-1</f>
        <v>-1</v>
      </c>
      <c r="Q40" s="210">
        <f t="shared" si="25"/>
        <v>0</v>
      </c>
      <c r="R40" s="734">
        <f t="shared" si="26"/>
        <v>-1</v>
      </c>
    </row>
    <row r="41" spans="1:18" hidden="1" x14ac:dyDescent="0.25">
      <c r="A41" s="744" t="s">
        <v>14</v>
      </c>
      <c r="B41" s="743">
        <v>1</v>
      </c>
      <c r="C41" s="456">
        <v>0</v>
      </c>
      <c r="D41" s="735">
        <f t="shared" si="21"/>
        <v>-0.22093023255813948</v>
      </c>
      <c r="E41" s="736">
        <v>0</v>
      </c>
      <c r="F41" s="735">
        <f>((E41/$B$27))-1</f>
        <v>-1</v>
      </c>
      <c r="G41" s="736">
        <v>0</v>
      </c>
      <c r="H41" s="735">
        <f>((G41/$B$27))-1</f>
        <v>-1</v>
      </c>
      <c r="I41" s="729">
        <f t="shared" si="22"/>
        <v>0</v>
      </c>
      <c r="J41" s="20">
        <f t="shared" si="23"/>
        <v>-1</v>
      </c>
      <c r="K41" s="456">
        <v>0</v>
      </c>
      <c r="L41" s="29">
        <f t="shared" si="24"/>
        <v>-1</v>
      </c>
      <c r="M41" s="736"/>
      <c r="N41" s="735">
        <f>((M41/$B$27))-1</f>
        <v>-1</v>
      </c>
      <c r="O41" s="736"/>
      <c r="P41" s="455">
        <f>((O41/$B$28))-1</f>
        <v>-1</v>
      </c>
      <c r="Q41" s="729">
        <f t="shared" si="25"/>
        <v>0</v>
      </c>
      <c r="R41" s="20">
        <f t="shared" si="26"/>
        <v>-1</v>
      </c>
    </row>
    <row r="42" spans="1:18" hidden="1" x14ac:dyDescent="0.25">
      <c r="A42" s="374" t="s">
        <v>153</v>
      </c>
      <c r="B42" s="405">
        <v>1</v>
      </c>
      <c r="C42" s="376">
        <v>1</v>
      </c>
      <c r="D42" s="455">
        <f t="shared" si="21"/>
        <v>-0.22093023255813948</v>
      </c>
      <c r="E42" s="376">
        <v>1</v>
      </c>
      <c r="F42" s="455">
        <f>((E42/$B$27))-1</f>
        <v>-0.66666666666666674</v>
      </c>
      <c r="G42" s="376">
        <v>1</v>
      </c>
      <c r="H42" s="455">
        <f>((G42/$B$27))-1</f>
        <v>-0.66666666666666674</v>
      </c>
      <c r="I42" s="377">
        <f t="shared" si="22"/>
        <v>3</v>
      </c>
      <c r="J42" s="378">
        <f t="shared" si="23"/>
        <v>0</v>
      </c>
      <c r="K42" s="376">
        <v>1</v>
      </c>
      <c r="L42" s="379">
        <f t="shared" si="24"/>
        <v>0</v>
      </c>
      <c r="M42" s="456"/>
      <c r="N42" s="455">
        <f>((M42/$B$27))-1</f>
        <v>-1</v>
      </c>
      <c r="O42" s="456"/>
      <c r="P42" s="379">
        <f>((O42/$B$29))-1</f>
        <v>-1</v>
      </c>
      <c r="Q42" s="377">
        <f t="shared" si="25"/>
        <v>1</v>
      </c>
      <c r="R42" s="378">
        <f t="shared" si="26"/>
        <v>-0.66666666666666674</v>
      </c>
    </row>
    <row r="43" spans="1:18" hidden="1" x14ac:dyDescent="0.25">
      <c r="A43" s="323" t="s">
        <v>221</v>
      </c>
      <c r="B43" s="406">
        <v>1</v>
      </c>
      <c r="C43" s="329">
        <v>0</v>
      </c>
      <c r="D43" s="402">
        <f t="shared" si="21"/>
        <v>-0.22093023255813948</v>
      </c>
      <c r="E43" s="329">
        <v>0</v>
      </c>
      <c r="F43" s="402">
        <f>((E43/$B$27))-1</f>
        <v>-1</v>
      </c>
      <c r="G43" s="329">
        <v>0</v>
      </c>
      <c r="H43" s="402">
        <f>((G43/$B$27))-1</f>
        <v>-1</v>
      </c>
      <c r="I43" s="331">
        <f t="shared" si="22"/>
        <v>0</v>
      </c>
      <c r="J43" s="407">
        <f t="shared" si="23"/>
        <v>-1</v>
      </c>
      <c r="K43" s="329">
        <v>0</v>
      </c>
      <c r="L43" s="402">
        <f t="shared" si="24"/>
        <v>-1</v>
      </c>
      <c r="M43" s="329"/>
      <c r="N43" s="402">
        <f>((M43/$B$27))-1</f>
        <v>-1</v>
      </c>
      <c r="O43" s="329"/>
      <c r="P43" s="402">
        <f>((O43/$B$29))-1</f>
        <v>-1</v>
      </c>
      <c r="Q43" s="331">
        <f t="shared" si="25"/>
        <v>0</v>
      </c>
      <c r="R43" s="407">
        <f t="shared" si="26"/>
        <v>-1</v>
      </c>
    </row>
    <row r="44" spans="1:18" ht="15.75" hidden="1" thickBot="1" x14ac:dyDescent="0.3">
      <c r="A44" s="50" t="s">
        <v>2</v>
      </c>
      <c r="B44" s="370">
        <f>SUM(B36:B43)</f>
        <v>9</v>
      </c>
      <c r="C44" s="54">
        <f>SUM(C36:C43)</f>
        <v>6</v>
      </c>
      <c r="D44" s="59">
        <f>((C44/$B$30))-1</f>
        <v>2</v>
      </c>
      <c r="E44" s="54">
        <f>SUM(E36:E43)</f>
        <v>6</v>
      </c>
      <c r="F44" s="59">
        <f>((E44/$B$30))-1</f>
        <v>2</v>
      </c>
      <c r="G44" s="54">
        <f>SUM(G36:G43)</f>
        <v>6</v>
      </c>
      <c r="H44" s="59">
        <f>((G44/$B$30))-1</f>
        <v>2</v>
      </c>
      <c r="I44" s="53">
        <f t="shared" si="22"/>
        <v>18</v>
      </c>
      <c r="J44" s="408">
        <f t="shared" si="23"/>
        <v>-0.33333333333333337</v>
      </c>
      <c r="K44" s="403">
        <f>SUM(K36:K43)</f>
        <v>6</v>
      </c>
      <c r="L44" s="409">
        <f t="shared" si="24"/>
        <v>-0.33333333333333337</v>
      </c>
      <c r="M44" s="403">
        <f>SUM(M36:M43)</f>
        <v>0</v>
      </c>
      <c r="N44" s="409">
        <f>((M44/$B$30))-1</f>
        <v>-1</v>
      </c>
      <c r="O44" s="403">
        <f>SUM(O36:O43)</f>
        <v>0</v>
      </c>
      <c r="P44" s="409">
        <f>((O44/$B$30))-1</f>
        <v>-1</v>
      </c>
      <c r="Q44" s="372">
        <f t="shared" si="25"/>
        <v>6</v>
      </c>
      <c r="R44" s="404">
        <f t="shared" si="26"/>
        <v>-0.77777777777777779</v>
      </c>
    </row>
    <row r="45" spans="1:18" hidden="1" x14ac:dyDescent="0.25"/>
    <row r="46" spans="1:18" hidden="1" x14ac:dyDescent="0.25"/>
  </sheetData>
  <mergeCells count="5">
    <mergeCell ref="A5:R5"/>
    <mergeCell ref="A20:R20"/>
    <mergeCell ref="A2:R2"/>
    <mergeCell ref="A3:R3"/>
    <mergeCell ref="A34:R34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R20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5.7109375" customWidth="1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tr">
        <f>'UBS E NASF Malta Cardoso 1° SEM'!A3</f>
        <v>OSS/SPDM – Associação Paulista para o Desenvolvimento da Medicina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350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64" t="s">
        <v>8</v>
      </c>
      <c r="B6" s="341" t="s">
        <v>9</v>
      </c>
      <c r="C6" s="325" t="str">
        <f>'UBS Vila Dalva 1° SEM'!C6</f>
        <v>JAN</v>
      </c>
      <c r="D6" s="326" t="str">
        <f>'UBS Vila Dalva 1° SEM'!D6</f>
        <v>%</v>
      </c>
      <c r="E6" s="325" t="str">
        <f>'UBS Vila Dalva 1° SEM'!E6</f>
        <v>FEV</v>
      </c>
      <c r="F6" s="326" t="str">
        <f>'UBS Vila Dalva 1° SEM'!F6</f>
        <v>%</v>
      </c>
      <c r="G6" s="325" t="str">
        <f>'UBS Vila Dalva 1° SEM'!G6</f>
        <v>MAR</v>
      </c>
      <c r="H6" s="326" t="str">
        <f>'UBS Vila Dalva 1° SEM'!H6</f>
        <v>%</v>
      </c>
      <c r="I6" s="327" t="str">
        <f>'UBS Vila Dalva 1° SEM'!I6</f>
        <v>Trimestre</v>
      </c>
      <c r="J6" s="327" t="str">
        <f>'UBS Vila Dalva 1° SEM'!J6</f>
        <v>%</v>
      </c>
      <c r="K6" s="325" t="str">
        <f>'UBS Vila Dalva 1° SEM'!K6</f>
        <v>ABR</v>
      </c>
      <c r="L6" s="326" t="str">
        <f>'UBS Vila Dalva 1° SEM'!L6</f>
        <v>%</v>
      </c>
      <c r="M6" s="325" t="str">
        <f>'UBS Vila Dalva 1° SEM'!M6</f>
        <v>MAI</v>
      </c>
      <c r="N6" s="326" t="str">
        <f>'UBS Vila Dalva 1° SEM'!N6</f>
        <v>%</v>
      </c>
      <c r="O6" s="325" t="str">
        <f>'UBS Vila Dalva 1° SEM'!O6</f>
        <v>JUN</v>
      </c>
      <c r="P6" s="326" t="str">
        <f>'UBS Vila Dalva 1° SEM'!P6</f>
        <v>%</v>
      </c>
      <c r="Q6" s="327" t="str">
        <f>'UBS Vila Dalva 1° SEM'!Q6</f>
        <v>Trimestre</v>
      </c>
      <c r="R6" s="327" t="str">
        <f>'UBS Vila Dalva 1° SEM'!R6</f>
        <v>%</v>
      </c>
    </row>
    <row r="7" spans="1:18" ht="15.75" thickTop="1" x14ac:dyDescent="0.25">
      <c r="A7" s="324" t="s">
        <v>158</v>
      </c>
      <c r="B7" s="335">
        <v>1200</v>
      </c>
      <c r="C7" s="311">
        <v>1100</v>
      </c>
      <c r="D7" s="314">
        <f>((C7/$B7))-1</f>
        <v>-8.333333333333337E-2</v>
      </c>
      <c r="E7" s="311">
        <v>1268</v>
      </c>
      <c r="F7" s="314">
        <f>((E7/$B7))-1</f>
        <v>5.6666666666666643E-2</v>
      </c>
      <c r="G7" s="311">
        <v>1570</v>
      </c>
      <c r="H7" s="314">
        <f>((G7/$B7))-1</f>
        <v>0.30833333333333335</v>
      </c>
      <c r="I7" s="313">
        <f>C7+E7+G7</f>
        <v>3938</v>
      </c>
      <c r="J7" s="318">
        <f>((I7/(3*$B7)))-1</f>
        <v>9.3888888888888911E-2</v>
      </c>
      <c r="K7" s="311">
        <v>1140</v>
      </c>
      <c r="L7" s="314">
        <f>((K7/$B7))-1</f>
        <v>-5.0000000000000044E-2</v>
      </c>
      <c r="M7" s="311">
        <v>1533</v>
      </c>
      <c r="N7" s="314">
        <f>((M7/$B7))-1</f>
        <v>0.27750000000000008</v>
      </c>
      <c r="O7" s="311">
        <v>1149</v>
      </c>
      <c r="P7" s="314">
        <f>((O7/$B7))-1</f>
        <v>-4.2499999999999982E-2</v>
      </c>
      <c r="Q7" s="313">
        <f>K7+M7+O7</f>
        <v>3822</v>
      </c>
      <c r="R7" s="318">
        <f>((Q7/(3*$B7)))-1</f>
        <v>6.1666666666666758E-2</v>
      </c>
    </row>
    <row r="8" spans="1:18" x14ac:dyDescent="0.25">
      <c r="A8" s="324" t="s">
        <v>159</v>
      </c>
      <c r="B8" s="335">
        <v>416</v>
      </c>
      <c r="C8" s="311">
        <v>292</v>
      </c>
      <c r="D8" s="314">
        <f t="shared" ref="D8:D18" si="0">((C8/$B8))-1</f>
        <v>-0.29807692307692313</v>
      </c>
      <c r="E8" s="311">
        <v>289</v>
      </c>
      <c r="F8" s="314">
        <f t="shared" ref="F8:F18" si="1">((E8/$B8))-1</f>
        <v>-0.30528846153846156</v>
      </c>
      <c r="G8" s="311">
        <v>0</v>
      </c>
      <c r="H8" s="314">
        <f t="shared" ref="H8:H18" si="2">((G8/$B8))-1</f>
        <v>-1</v>
      </c>
      <c r="I8" s="313">
        <f t="shared" ref="I8:I18" si="3">C8+E8+G8</f>
        <v>581</v>
      </c>
      <c r="J8" s="318">
        <f t="shared" ref="J8:J18" si="4">((I8/(3*$B8)))-1</f>
        <v>-0.53445512820512819</v>
      </c>
      <c r="K8" s="311">
        <v>154</v>
      </c>
      <c r="L8" s="314">
        <f t="shared" ref="L8:L18" si="5">((K8/$B8))-1</f>
        <v>-0.62980769230769229</v>
      </c>
      <c r="M8" s="311">
        <v>234</v>
      </c>
      <c r="N8" s="314">
        <f t="shared" ref="N8:N18" si="6">((M8/$B8))-1</f>
        <v>-0.4375</v>
      </c>
      <c r="O8" s="311">
        <v>184</v>
      </c>
      <c r="P8" s="314">
        <f t="shared" ref="P8:P18" si="7">((O8/$B8))-1</f>
        <v>-0.55769230769230771</v>
      </c>
      <c r="Q8" s="313">
        <f t="shared" ref="Q8:Q18" si="8">K8+M8+O8</f>
        <v>572</v>
      </c>
      <c r="R8" s="318">
        <f t="shared" ref="R8:R18" si="9">((Q8/(3*$B8)))-1</f>
        <v>-0.54166666666666674</v>
      </c>
    </row>
    <row r="9" spans="1:18" x14ac:dyDescent="0.25">
      <c r="A9" s="705" t="s">
        <v>171</v>
      </c>
      <c r="B9" s="335">
        <v>156</v>
      </c>
      <c r="C9" s="311">
        <v>260</v>
      </c>
      <c r="D9" s="314">
        <f t="shared" si="0"/>
        <v>0.66666666666666674</v>
      </c>
      <c r="E9" s="311">
        <v>0</v>
      </c>
      <c r="F9" s="314">
        <f t="shared" si="1"/>
        <v>-1</v>
      </c>
      <c r="G9" s="311">
        <v>239</v>
      </c>
      <c r="H9" s="314">
        <f t="shared" si="2"/>
        <v>0.53205128205128216</v>
      </c>
      <c r="I9" s="313">
        <f t="shared" si="3"/>
        <v>499</v>
      </c>
      <c r="J9" s="318">
        <f t="shared" si="4"/>
        <v>6.6239316239316226E-2</v>
      </c>
      <c r="K9" s="311">
        <v>161</v>
      </c>
      <c r="L9" s="314">
        <f t="shared" si="5"/>
        <v>3.2051282051282159E-2</v>
      </c>
      <c r="M9" s="311">
        <v>193</v>
      </c>
      <c r="N9" s="314">
        <f t="shared" si="6"/>
        <v>0.23717948717948723</v>
      </c>
      <c r="O9" s="311">
        <v>184</v>
      </c>
      <c r="P9" s="314">
        <f t="shared" si="7"/>
        <v>0.17948717948717952</v>
      </c>
      <c r="Q9" s="313">
        <f t="shared" si="8"/>
        <v>538</v>
      </c>
      <c r="R9" s="318">
        <f t="shared" si="9"/>
        <v>0.14957264957264949</v>
      </c>
    </row>
    <row r="10" spans="1:18" x14ac:dyDescent="0.25">
      <c r="A10" s="310" t="s">
        <v>213</v>
      </c>
      <c r="B10" s="342">
        <v>260</v>
      </c>
      <c r="C10" s="329">
        <v>222</v>
      </c>
      <c r="D10" s="314">
        <f t="shared" si="0"/>
        <v>-0.14615384615384619</v>
      </c>
      <c r="E10" s="329">
        <v>296</v>
      </c>
      <c r="F10" s="314">
        <f t="shared" si="1"/>
        <v>0.13846153846153841</v>
      </c>
      <c r="G10" s="329">
        <v>302</v>
      </c>
      <c r="H10" s="330">
        <f t="shared" si="2"/>
        <v>0.16153846153846163</v>
      </c>
      <c r="I10" s="331">
        <f t="shared" si="3"/>
        <v>820</v>
      </c>
      <c r="J10" s="332">
        <f t="shared" si="4"/>
        <v>5.1282051282051322E-2</v>
      </c>
      <c r="K10" s="329">
        <v>205</v>
      </c>
      <c r="L10" s="330">
        <f t="shared" si="5"/>
        <v>-0.21153846153846156</v>
      </c>
      <c r="M10" s="329">
        <v>234</v>
      </c>
      <c r="N10" s="330">
        <f t="shared" si="6"/>
        <v>-9.9999999999999978E-2</v>
      </c>
      <c r="O10" s="329">
        <v>215</v>
      </c>
      <c r="P10" s="330">
        <f t="shared" si="7"/>
        <v>-0.17307692307692313</v>
      </c>
      <c r="Q10" s="331">
        <f t="shared" si="8"/>
        <v>654</v>
      </c>
      <c r="R10" s="332">
        <f t="shared" si="9"/>
        <v>-0.16153846153846152</v>
      </c>
    </row>
    <row r="11" spans="1:18" x14ac:dyDescent="0.25">
      <c r="A11" s="310" t="s">
        <v>216</v>
      </c>
      <c r="B11" s="342">
        <v>104</v>
      </c>
      <c r="C11" s="329">
        <v>142</v>
      </c>
      <c r="D11" s="314">
        <f t="shared" si="0"/>
        <v>0.36538461538461542</v>
      </c>
      <c r="E11" s="329">
        <v>157</v>
      </c>
      <c r="F11" s="314">
        <f t="shared" si="1"/>
        <v>0.50961538461538458</v>
      </c>
      <c r="G11" s="329">
        <v>72</v>
      </c>
      <c r="H11" s="330">
        <f t="shared" si="2"/>
        <v>-0.30769230769230771</v>
      </c>
      <c r="I11" s="331">
        <f t="shared" si="3"/>
        <v>371</v>
      </c>
      <c r="J11" s="332">
        <f t="shared" si="4"/>
        <v>0.1891025641025641</v>
      </c>
      <c r="K11" s="329">
        <v>97</v>
      </c>
      <c r="L11" s="330">
        <f t="shared" si="5"/>
        <v>-6.7307692307692291E-2</v>
      </c>
      <c r="M11" s="329">
        <v>128</v>
      </c>
      <c r="N11" s="330">
        <f t="shared" si="6"/>
        <v>0.23076923076923084</v>
      </c>
      <c r="O11" s="329">
        <v>115</v>
      </c>
      <c r="P11" s="330">
        <f t="shared" si="7"/>
        <v>0.10576923076923084</v>
      </c>
      <c r="Q11" s="331">
        <f t="shared" si="8"/>
        <v>340</v>
      </c>
      <c r="R11" s="332">
        <f t="shared" si="9"/>
        <v>8.9743589743589647E-2</v>
      </c>
    </row>
    <row r="12" spans="1:18" x14ac:dyDescent="0.25">
      <c r="A12" s="310" t="s">
        <v>214</v>
      </c>
      <c r="B12" s="335">
        <v>333</v>
      </c>
      <c r="C12" s="311">
        <v>290</v>
      </c>
      <c r="D12" s="314">
        <f t="shared" si="0"/>
        <v>-0.12912912912912911</v>
      </c>
      <c r="E12" s="311">
        <v>0</v>
      </c>
      <c r="F12" s="314">
        <f t="shared" si="1"/>
        <v>-1</v>
      </c>
      <c r="G12" s="311">
        <v>144</v>
      </c>
      <c r="H12" s="314">
        <f t="shared" si="2"/>
        <v>-0.56756756756756754</v>
      </c>
      <c r="I12" s="331">
        <f t="shared" si="3"/>
        <v>434</v>
      </c>
      <c r="J12" s="332">
        <f t="shared" si="4"/>
        <v>-0.56556556556556559</v>
      </c>
      <c r="K12" s="311">
        <v>117</v>
      </c>
      <c r="L12" s="314">
        <f t="shared" si="5"/>
        <v>-0.64864864864864868</v>
      </c>
      <c r="M12" s="311">
        <v>177</v>
      </c>
      <c r="N12" s="314">
        <f t="shared" si="6"/>
        <v>-0.46846846846846846</v>
      </c>
      <c r="O12" s="311">
        <v>142</v>
      </c>
      <c r="P12" s="314">
        <f t="shared" si="7"/>
        <v>-0.57357357357357364</v>
      </c>
      <c r="Q12" s="331">
        <f t="shared" si="8"/>
        <v>436</v>
      </c>
      <c r="R12" s="332">
        <f t="shared" si="9"/>
        <v>-0.56356356356356363</v>
      </c>
    </row>
    <row r="13" spans="1:18" x14ac:dyDescent="0.25">
      <c r="A13" s="310" t="s">
        <v>201</v>
      </c>
      <c r="B13" s="335">
        <v>288</v>
      </c>
      <c r="C13" s="311">
        <v>201</v>
      </c>
      <c r="D13" s="314">
        <f t="shared" si="0"/>
        <v>-0.30208333333333337</v>
      </c>
      <c r="E13" s="311">
        <v>207</v>
      </c>
      <c r="F13" s="314">
        <f t="shared" si="1"/>
        <v>-0.28125</v>
      </c>
      <c r="G13" s="311">
        <v>192</v>
      </c>
      <c r="H13" s="314">
        <f t="shared" si="2"/>
        <v>-0.33333333333333337</v>
      </c>
      <c r="I13" s="331">
        <f>C13+E13+G13</f>
        <v>600</v>
      </c>
      <c r="J13" s="332">
        <f t="shared" si="4"/>
        <v>-0.30555555555555558</v>
      </c>
      <c r="K13" s="311">
        <v>211</v>
      </c>
      <c r="L13" s="314">
        <f t="shared" si="5"/>
        <v>-0.26736111111111116</v>
      </c>
      <c r="M13" s="311">
        <v>290</v>
      </c>
      <c r="N13" s="314">
        <f t="shared" si="6"/>
        <v>6.9444444444444198E-3</v>
      </c>
      <c r="O13" s="311">
        <v>258</v>
      </c>
      <c r="P13" s="314">
        <f t="shared" si="7"/>
        <v>-0.10416666666666663</v>
      </c>
      <c r="Q13" s="331">
        <f t="shared" si="8"/>
        <v>759</v>
      </c>
      <c r="R13" s="332">
        <f t="shared" si="9"/>
        <v>-0.12152777777777779</v>
      </c>
    </row>
    <row r="14" spans="1:18" x14ac:dyDescent="0.25">
      <c r="A14" s="310" t="s">
        <v>215</v>
      </c>
      <c r="B14" s="335">
        <v>1008</v>
      </c>
      <c r="C14" s="311">
        <v>188</v>
      </c>
      <c r="D14" s="314">
        <f t="shared" si="0"/>
        <v>-0.81349206349206349</v>
      </c>
      <c r="E14" s="311">
        <v>300</v>
      </c>
      <c r="F14" s="314">
        <f t="shared" si="1"/>
        <v>-0.70238095238095233</v>
      </c>
      <c r="G14" s="311">
        <v>407</v>
      </c>
      <c r="H14" s="314">
        <f t="shared" si="2"/>
        <v>-0.59623015873015872</v>
      </c>
      <c r="I14" s="331">
        <f>C14+E14+G14</f>
        <v>895</v>
      </c>
      <c r="J14" s="332">
        <f t="shared" si="4"/>
        <v>-0.70403439153439151</v>
      </c>
      <c r="K14" s="311">
        <v>386</v>
      </c>
      <c r="L14" s="314">
        <f t="shared" si="5"/>
        <v>-0.61706349206349209</v>
      </c>
      <c r="M14" s="311">
        <v>526</v>
      </c>
      <c r="N14" s="314">
        <f t="shared" si="6"/>
        <v>-0.47817460317460314</v>
      </c>
      <c r="O14" s="311">
        <v>576</v>
      </c>
      <c r="P14" s="314">
        <f t="shared" si="7"/>
        <v>-0.4285714285714286</v>
      </c>
      <c r="Q14" s="331">
        <f t="shared" si="8"/>
        <v>1488</v>
      </c>
      <c r="R14" s="332">
        <f t="shared" si="9"/>
        <v>-0.50793650793650791</v>
      </c>
    </row>
    <row r="15" spans="1:18" x14ac:dyDescent="0.25">
      <c r="A15" s="310" t="s">
        <v>172</v>
      </c>
      <c r="B15" s="335">
        <v>526</v>
      </c>
      <c r="C15" s="311">
        <v>228</v>
      </c>
      <c r="D15" s="314">
        <f t="shared" si="0"/>
        <v>-0.56653992395437269</v>
      </c>
      <c r="E15" s="311">
        <v>368</v>
      </c>
      <c r="F15" s="314">
        <f t="shared" si="1"/>
        <v>-0.30038022813688214</v>
      </c>
      <c r="G15" s="311">
        <v>0</v>
      </c>
      <c r="H15" s="314">
        <f t="shared" si="2"/>
        <v>-1</v>
      </c>
      <c r="I15" s="331">
        <f>C15+E15+G15</f>
        <v>596</v>
      </c>
      <c r="J15" s="332">
        <f t="shared" si="4"/>
        <v>-0.62230671736375154</v>
      </c>
      <c r="K15" s="311">
        <v>0</v>
      </c>
      <c r="L15" s="314">
        <f t="shared" si="5"/>
        <v>-1</v>
      </c>
      <c r="M15" s="311">
        <v>175</v>
      </c>
      <c r="N15" s="314">
        <f t="shared" si="6"/>
        <v>-0.66730038022813687</v>
      </c>
      <c r="O15" s="311">
        <v>110</v>
      </c>
      <c r="P15" s="314">
        <f t="shared" si="7"/>
        <v>-0.79087452471482889</v>
      </c>
      <c r="Q15" s="331">
        <f t="shared" si="8"/>
        <v>285</v>
      </c>
      <c r="R15" s="332">
        <f t="shared" si="9"/>
        <v>-0.81939163498098866</v>
      </c>
    </row>
    <row r="16" spans="1:18" x14ac:dyDescent="0.25">
      <c r="A16" s="310" t="s">
        <v>163</v>
      </c>
      <c r="B16" s="335">
        <v>526</v>
      </c>
      <c r="C16" s="311">
        <v>0</v>
      </c>
      <c r="D16" s="314">
        <f t="shared" si="0"/>
        <v>-1</v>
      </c>
      <c r="E16" s="311">
        <v>230</v>
      </c>
      <c r="F16" s="314">
        <f t="shared" si="1"/>
        <v>-0.56273764258555126</v>
      </c>
      <c r="G16" s="311">
        <v>299</v>
      </c>
      <c r="H16" s="314">
        <f t="shared" si="2"/>
        <v>-0.4315589353612167</v>
      </c>
      <c r="I16" s="331">
        <f t="shared" si="3"/>
        <v>529</v>
      </c>
      <c r="J16" s="332">
        <f t="shared" si="4"/>
        <v>-0.66476552598225602</v>
      </c>
      <c r="K16" s="311">
        <v>213</v>
      </c>
      <c r="L16" s="314">
        <f t="shared" si="5"/>
        <v>-0.59505703422053235</v>
      </c>
      <c r="M16" s="311">
        <v>313</v>
      </c>
      <c r="N16" s="314">
        <f t="shared" si="6"/>
        <v>-0.40494296577946765</v>
      </c>
      <c r="O16" s="311">
        <v>221</v>
      </c>
      <c r="P16" s="314">
        <f t="shared" si="7"/>
        <v>-0.57984790874524716</v>
      </c>
      <c r="Q16" s="331">
        <f t="shared" si="8"/>
        <v>747</v>
      </c>
      <c r="R16" s="332">
        <f t="shared" si="9"/>
        <v>-0.52661596958174905</v>
      </c>
    </row>
    <row r="17" spans="1:18" x14ac:dyDescent="0.25">
      <c r="A17" s="310" t="s">
        <v>162</v>
      </c>
      <c r="B17" s="335">
        <v>789</v>
      </c>
      <c r="C17" s="311">
        <v>555</v>
      </c>
      <c r="D17" s="314">
        <f t="shared" si="0"/>
        <v>-0.29657794676806082</v>
      </c>
      <c r="E17" s="311">
        <v>493</v>
      </c>
      <c r="F17" s="314">
        <f t="shared" si="1"/>
        <v>-0.3751584283903675</v>
      </c>
      <c r="G17" s="311">
        <v>659</v>
      </c>
      <c r="H17" s="314">
        <f t="shared" si="2"/>
        <v>-0.16476552598225602</v>
      </c>
      <c r="I17" s="331">
        <f t="shared" si="3"/>
        <v>1707</v>
      </c>
      <c r="J17" s="332">
        <f t="shared" si="4"/>
        <v>-0.27883396704689478</v>
      </c>
      <c r="K17" s="311">
        <v>474</v>
      </c>
      <c r="L17" s="314">
        <f t="shared" si="5"/>
        <v>-0.39923954372623571</v>
      </c>
      <c r="M17" s="311">
        <v>564</v>
      </c>
      <c r="N17" s="314">
        <f t="shared" si="6"/>
        <v>-0.28517110266159695</v>
      </c>
      <c r="O17" s="311">
        <v>544</v>
      </c>
      <c r="P17" s="314">
        <f t="shared" si="7"/>
        <v>-0.31051964512040553</v>
      </c>
      <c r="Q17" s="331">
        <f t="shared" si="8"/>
        <v>1582</v>
      </c>
      <c r="R17" s="332">
        <f t="shared" si="9"/>
        <v>-0.33164343050274614</v>
      </c>
    </row>
    <row r="18" spans="1:18" ht="15.75" thickBot="1" x14ac:dyDescent="0.3">
      <c r="A18" s="323" t="s">
        <v>204</v>
      </c>
      <c r="B18" s="342">
        <v>166</v>
      </c>
      <c r="C18" s="329">
        <v>38</v>
      </c>
      <c r="D18" s="330">
        <f t="shared" si="0"/>
        <v>-0.77108433734939763</v>
      </c>
      <c r="E18" s="329">
        <v>0</v>
      </c>
      <c r="F18" s="330">
        <f t="shared" si="1"/>
        <v>-1</v>
      </c>
      <c r="G18" s="329">
        <v>94</v>
      </c>
      <c r="H18" s="380">
        <f t="shared" si="2"/>
        <v>-0.4337349397590361</v>
      </c>
      <c r="I18" s="331">
        <f t="shared" si="3"/>
        <v>132</v>
      </c>
      <c r="J18" s="333">
        <f t="shared" si="4"/>
        <v>-0.73493975903614461</v>
      </c>
      <c r="K18" s="329">
        <v>93</v>
      </c>
      <c r="L18" s="330">
        <f t="shared" si="5"/>
        <v>-0.43975903614457834</v>
      </c>
      <c r="M18" s="329">
        <v>145</v>
      </c>
      <c r="N18" s="330">
        <f t="shared" si="6"/>
        <v>-0.12650602409638556</v>
      </c>
      <c r="O18" s="329">
        <v>121</v>
      </c>
      <c r="P18" s="380">
        <f t="shared" si="7"/>
        <v>-0.27108433734939763</v>
      </c>
      <c r="Q18" s="331">
        <f t="shared" si="8"/>
        <v>359</v>
      </c>
      <c r="R18" s="333">
        <f t="shared" si="9"/>
        <v>-0.27911646586345384</v>
      </c>
    </row>
    <row r="19" spans="1:18" ht="15.75" thickBot="1" x14ac:dyDescent="0.3">
      <c r="A19" s="50" t="s">
        <v>2</v>
      </c>
      <c r="B19" s="370">
        <f>SUM(B7:B18)</f>
        <v>5772</v>
      </c>
      <c r="C19" s="54">
        <f>SUM(C7:C18)</f>
        <v>3516</v>
      </c>
      <c r="D19" s="59">
        <f>((C19/$B19))-1</f>
        <v>-0.39085239085239087</v>
      </c>
      <c r="E19" s="54">
        <f>SUM(E7:E18)</f>
        <v>3608</v>
      </c>
      <c r="F19" s="59">
        <f>((E19/$B19))-1</f>
        <v>-0.37491337491337495</v>
      </c>
      <c r="G19" s="54">
        <f>SUM(G7:G18)</f>
        <v>3978</v>
      </c>
      <c r="H19" s="371">
        <f>((G19/$B19))-1</f>
        <v>-0.31081081081081086</v>
      </c>
      <c r="I19" s="372">
        <f>C19+E19+G19</f>
        <v>11102</v>
      </c>
      <c r="J19" s="373">
        <f>((I19/(3*$B19)))-1</f>
        <v>-0.35885885885885882</v>
      </c>
      <c r="K19" s="54">
        <f>SUM(K7:K18)</f>
        <v>3251</v>
      </c>
      <c r="L19" s="59">
        <f>((K19/$B19))-1</f>
        <v>-0.43676368676368671</v>
      </c>
      <c r="M19" s="54">
        <f>SUM(M7:M18)</f>
        <v>4512</v>
      </c>
      <c r="N19" s="59">
        <f>((M19/$B19))-1</f>
        <v>-0.21829521829521825</v>
      </c>
      <c r="O19" s="54">
        <f>SUM(O7:O18)</f>
        <v>3819</v>
      </c>
      <c r="P19" s="371">
        <f>((O19/$B19))-1</f>
        <v>-0.33835758835758833</v>
      </c>
      <c r="Q19" s="372">
        <f>K19+M19+O19</f>
        <v>11582</v>
      </c>
      <c r="R19" s="381">
        <f>((Q19/(3*$B19)))-1</f>
        <v>-0.33113883113883114</v>
      </c>
    </row>
    <row r="20" spans="1:18" x14ac:dyDescent="0.25">
      <c r="B20" s="31"/>
    </row>
  </sheetData>
  <mergeCells count="3">
    <mergeCell ref="A2:R2"/>
    <mergeCell ref="A3:R3"/>
    <mergeCell ref="A5:R5"/>
  </mergeCells>
  <pageMargins left="0.23622047244094491" right="0.23622047244094491" top="0.47244094488188981" bottom="0.74803149606299213" header="0.31496062992125984" footer="0.31496062992125984"/>
  <pageSetup paperSize="9" scale="82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AA4-983D-4EB5-A0F8-8F564D1E3125}">
  <sheetPr>
    <tabColor rgb="FF7030A0"/>
    <pageSetUpPr fitToPage="1"/>
  </sheetPr>
  <dimension ref="A2:R38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5.7109375" customWidth="1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tr">
        <f>'UBS E NASF Malta Cardoso 2º SEM'!A3</f>
        <v>OSS/SPDM – Associação Paulista para o Desenvolvimento da Medicina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350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763" t="s">
        <v>9</v>
      </c>
      <c r="C6" s="762" t="str">
        <f>'UBS Vila Dalva 2º SEM'!C6</f>
        <v>JUL</v>
      </c>
      <c r="D6" s="761" t="str">
        <f>'UBS Vila Dalva 2º SEM'!D6</f>
        <v>%</v>
      </c>
      <c r="E6" s="762" t="str">
        <f>'UBS Vila Dalva 2º SEM'!E6</f>
        <v>AGO</v>
      </c>
      <c r="F6" s="761" t="str">
        <f>'UBS Vila Dalva 2º SEM'!F6</f>
        <v>%</v>
      </c>
      <c r="G6" s="762" t="str">
        <f>'UBS Vila Dalva 2º SEM'!G6</f>
        <v>SET</v>
      </c>
      <c r="H6" s="761" t="str">
        <f>'UBS Vila Dalva 2º SEM'!H6</f>
        <v>%</v>
      </c>
      <c r="I6" s="414" t="str">
        <f>'UBS Vila Dalva 2º SEM'!I6</f>
        <v>Trimestre</v>
      </c>
      <c r="J6" s="414" t="str">
        <f>'UBS Vila Dalva 2º SEM'!J6</f>
        <v>%</v>
      </c>
      <c r="K6" s="762" t="str">
        <f>'UBS Vila Dalva 2º SEM'!K6</f>
        <v>OUT</v>
      </c>
      <c r="L6" s="761" t="str">
        <f>'UBS Vila Dalva 2º SEM'!L6</f>
        <v>%</v>
      </c>
      <c r="M6" s="762" t="str">
        <f>'UBS Vila Dalva 2º SEM'!M6</f>
        <v>NOV</v>
      </c>
      <c r="N6" s="761" t="str">
        <f>'UBS Vila Dalva 2º SEM'!N6</f>
        <v>%</v>
      </c>
      <c r="O6" s="762" t="str">
        <f>'UBS Vila Dalva 2º SEM'!O6</f>
        <v>DEZ</v>
      </c>
      <c r="P6" s="761" t="str">
        <f>'UBS Vila Dalva 2º SEM'!P6</f>
        <v>%</v>
      </c>
      <c r="Q6" s="414" t="str">
        <f>'UBS Vila Dalva 2º SEM'!Q6</f>
        <v>Trimestre</v>
      </c>
      <c r="R6" s="414" t="str">
        <f>'UBS Vila Dalva 2º SEM'!R6</f>
        <v>%</v>
      </c>
    </row>
    <row r="7" spans="1:18" ht="15.75" thickTop="1" x14ac:dyDescent="0.25">
      <c r="A7" s="324" t="s">
        <v>158</v>
      </c>
      <c r="B7" s="335">
        <v>1200</v>
      </c>
      <c r="C7" s="311">
        <v>1098</v>
      </c>
      <c r="D7" s="314">
        <f t="shared" ref="D7:D19" si="0">((C7/$B7))-1</f>
        <v>-8.4999999999999964E-2</v>
      </c>
      <c r="E7" s="311">
        <v>1094</v>
      </c>
      <c r="F7" s="314">
        <f t="shared" ref="F7:F19" si="1">((E7/$B7))-1</f>
        <v>-8.8333333333333375E-2</v>
      </c>
      <c r="G7" s="311">
        <v>1102</v>
      </c>
      <c r="H7" s="314">
        <f t="shared" ref="H7:H19" si="2">((G7/$B7))-1</f>
        <v>-8.1666666666666665E-2</v>
      </c>
      <c r="I7" s="313">
        <f t="shared" ref="I7:I19" si="3">C7+E7+G7</f>
        <v>3294</v>
      </c>
      <c r="J7" s="318">
        <f t="shared" ref="J7:J19" si="4">((I7/(3*$B7)))-1</f>
        <v>-8.4999999999999964E-2</v>
      </c>
      <c r="K7" s="311">
        <v>1310</v>
      </c>
      <c r="L7" s="314">
        <f t="shared" ref="L7:L19" si="5">((K7/$B7))-1</f>
        <v>9.1666666666666563E-2</v>
      </c>
      <c r="M7" s="311">
        <v>1049</v>
      </c>
      <c r="N7" s="314">
        <f t="shared" ref="N7:N19" si="6">((M7/$B7))-1</f>
        <v>-0.12583333333333335</v>
      </c>
      <c r="O7" s="311">
        <v>977</v>
      </c>
      <c r="P7" s="314">
        <f t="shared" ref="P7:P19" si="7">((O7/$B7))-1</f>
        <v>-0.18583333333333329</v>
      </c>
      <c r="Q7" s="313">
        <f t="shared" ref="Q7:Q19" si="8">K7+M7+O7</f>
        <v>3336</v>
      </c>
      <c r="R7" s="318">
        <f t="shared" ref="R7:R19" si="9">((Q7/(3*$B7)))-1</f>
        <v>-7.3333333333333361E-2</v>
      </c>
    </row>
    <row r="8" spans="1:18" x14ac:dyDescent="0.25">
      <c r="A8" s="324" t="s">
        <v>159</v>
      </c>
      <c r="B8" s="335">
        <v>416</v>
      </c>
      <c r="C8" s="311">
        <v>192</v>
      </c>
      <c r="D8" s="314">
        <f t="shared" si="0"/>
        <v>-0.53846153846153844</v>
      </c>
      <c r="E8" s="311">
        <v>278</v>
      </c>
      <c r="F8" s="314">
        <f t="shared" si="1"/>
        <v>-0.33173076923076927</v>
      </c>
      <c r="G8" s="311">
        <v>216</v>
      </c>
      <c r="H8" s="314">
        <f t="shared" si="2"/>
        <v>-0.48076923076923073</v>
      </c>
      <c r="I8" s="313">
        <f t="shared" si="3"/>
        <v>686</v>
      </c>
      <c r="J8" s="318">
        <f t="shared" si="4"/>
        <v>-0.45032051282051277</v>
      </c>
      <c r="K8" s="311">
        <v>243</v>
      </c>
      <c r="L8" s="314">
        <f t="shared" si="5"/>
        <v>-0.41586538461538458</v>
      </c>
      <c r="M8" s="311">
        <v>328</v>
      </c>
      <c r="N8" s="314">
        <f t="shared" si="6"/>
        <v>-0.21153846153846156</v>
      </c>
      <c r="O8" s="311">
        <v>325</v>
      </c>
      <c r="P8" s="314">
        <f t="shared" si="7"/>
        <v>-0.21875</v>
      </c>
      <c r="Q8" s="313">
        <f t="shared" si="8"/>
        <v>896</v>
      </c>
      <c r="R8" s="318">
        <f t="shared" si="9"/>
        <v>-0.28205128205128205</v>
      </c>
    </row>
    <row r="9" spans="1:18" x14ac:dyDescent="0.25">
      <c r="A9" s="705" t="s">
        <v>171</v>
      </c>
      <c r="B9" s="335">
        <v>156</v>
      </c>
      <c r="C9" s="311">
        <v>186</v>
      </c>
      <c r="D9" s="314">
        <f t="shared" si="0"/>
        <v>0.19230769230769229</v>
      </c>
      <c r="E9" s="311">
        <v>257</v>
      </c>
      <c r="F9" s="314">
        <f t="shared" si="1"/>
        <v>0.64743589743589736</v>
      </c>
      <c r="G9" s="311">
        <v>173</v>
      </c>
      <c r="H9" s="314">
        <f t="shared" si="2"/>
        <v>0.10897435897435903</v>
      </c>
      <c r="I9" s="313">
        <f t="shared" si="3"/>
        <v>616</v>
      </c>
      <c r="J9" s="318">
        <f t="shared" si="4"/>
        <v>0.31623931623931623</v>
      </c>
      <c r="K9" s="311">
        <v>188</v>
      </c>
      <c r="L9" s="314">
        <f t="shared" si="5"/>
        <v>0.20512820512820507</v>
      </c>
      <c r="M9" s="311">
        <v>221</v>
      </c>
      <c r="N9" s="314">
        <f t="shared" si="6"/>
        <v>0.41666666666666674</v>
      </c>
      <c r="O9" s="311">
        <v>229</v>
      </c>
      <c r="P9" s="314">
        <f t="shared" si="7"/>
        <v>0.46794871794871784</v>
      </c>
      <c r="Q9" s="313">
        <f t="shared" si="8"/>
        <v>638</v>
      </c>
      <c r="R9" s="318">
        <f t="shared" si="9"/>
        <v>0.36324786324786329</v>
      </c>
    </row>
    <row r="10" spans="1:18" x14ac:dyDescent="0.25">
      <c r="A10" s="310" t="s">
        <v>213</v>
      </c>
      <c r="B10" s="342">
        <v>260</v>
      </c>
      <c r="C10" s="329">
        <v>200</v>
      </c>
      <c r="D10" s="314">
        <f t="shared" si="0"/>
        <v>-0.23076923076923073</v>
      </c>
      <c r="E10" s="329">
        <v>219</v>
      </c>
      <c r="F10" s="314">
        <f t="shared" si="1"/>
        <v>-0.15769230769230769</v>
      </c>
      <c r="G10" s="329">
        <v>221</v>
      </c>
      <c r="H10" s="330">
        <f t="shared" si="2"/>
        <v>-0.15000000000000002</v>
      </c>
      <c r="I10" s="331">
        <f t="shared" si="3"/>
        <v>640</v>
      </c>
      <c r="J10" s="332">
        <f t="shared" si="4"/>
        <v>-0.17948717948717952</v>
      </c>
      <c r="K10" s="329">
        <v>260</v>
      </c>
      <c r="L10" s="330">
        <f t="shared" si="5"/>
        <v>0</v>
      </c>
      <c r="M10" s="329">
        <v>268</v>
      </c>
      <c r="N10" s="330">
        <f t="shared" si="6"/>
        <v>3.076923076923066E-2</v>
      </c>
      <c r="O10" s="329">
        <v>233</v>
      </c>
      <c r="P10" s="330">
        <f t="shared" si="7"/>
        <v>-0.10384615384615381</v>
      </c>
      <c r="Q10" s="331">
        <f t="shared" si="8"/>
        <v>761</v>
      </c>
      <c r="R10" s="332">
        <f t="shared" si="9"/>
        <v>-2.4358974358974383E-2</v>
      </c>
    </row>
    <row r="11" spans="1:18" x14ac:dyDescent="0.25">
      <c r="A11" s="310" t="s">
        <v>216</v>
      </c>
      <c r="B11" s="342">
        <v>104</v>
      </c>
      <c r="C11" s="329">
        <v>99</v>
      </c>
      <c r="D11" s="314">
        <f t="shared" si="0"/>
        <v>-4.8076923076923128E-2</v>
      </c>
      <c r="E11" s="329">
        <v>127</v>
      </c>
      <c r="F11" s="314">
        <f t="shared" si="1"/>
        <v>0.22115384615384626</v>
      </c>
      <c r="G11" s="329">
        <v>108</v>
      </c>
      <c r="H11" s="330">
        <f t="shared" si="2"/>
        <v>3.8461538461538547E-2</v>
      </c>
      <c r="I11" s="331">
        <f t="shared" si="3"/>
        <v>334</v>
      </c>
      <c r="J11" s="332">
        <f t="shared" si="4"/>
        <v>7.0512820512820484E-2</v>
      </c>
      <c r="K11" s="329">
        <v>127</v>
      </c>
      <c r="L11" s="330">
        <f t="shared" si="5"/>
        <v>0.22115384615384626</v>
      </c>
      <c r="M11" s="329">
        <v>117</v>
      </c>
      <c r="N11" s="330">
        <f t="shared" si="6"/>
        <v>0.125</v>
      </c>
      <c r="O11" s="329">
        <v>50</v>
      </c>
      <c r="P11" s="330">
        <f t="shared" si="7"/>
        <v>-0.51923076923076916</v>
      </c>
      <c r="Q11" s="331">
        <f t="shared" si="8"/>
        <v>294</v>
      </c>
      <c r="R11" s="332">
        <f t="shared" si="9"/>
        <v>-5.7692307692307709E-2</v>
      </c>
    </row>
    <row r="12" spans="1:18" x14ac:dyDescent="0.25">
      <c r="A12" s="310" t="s">
        <v>214</v>
      </c>
      <c r="B12" s="335">
        <v>333</v>
      </c>
      <c r="C12" s="311">
        <v>187</v>
      </c>
      <c r="D12" s="314">
        <f t="shared" si="0"/>
        <v>-0.43843843843843844</v>
      </c>
      <c r="E12" s="311">
        <v>206</v>
      </c>
      <c r="F12" s="314">
        <f t="shared" si="1"/>
        <v>-0.38138138138138133</v>
      </c>
      <c r="G12" s="311">
        <v>181</v>
      </c>
      <c r="H12" s="314">
        <f t="shared" si="2"/>
        <v>-0.45645645645645649</v>
      </c>
      <c r="I12" s="331">
        <f t="shared" si="3"/>
        <v>574</v>
      </c>
      <c r="J12" s="332">
        <f t="shared" si="4"/>
        <v>-0.42542542542542539</v>
      </c>
      <c r="K12" s="311">
        <v>208</v>
      </c>
      <c r="L12" s="314">
        <f t="shared" si="5"/>
        <v>-0.37537537537537535</v>
      </c>
      <c r="M12" s="311">
        <v>125</v>
      </c>
      <c r="N12" s="314">
        <f t="shared" si="6"/>
        <v>-0.62462462462462465</v>
      </c>
      <c r="O12" s="311">
        <v>171</v>
      </c>
      <c r="P12" s="314">
        <f t="shared" si="7"/>
        <v>-0.48648648648648651</v>
      </c>
      <c r="Q12" s="331">
        <f t="shared" si="8"/>
        <v>504</v>
      </c>
      <c r="R12" s="332">
        <f t="shared" si="9"/>
        <v>-0.49549549549549554</v>
      </c>
    </row>
    <row r="13" spans="1:18" x14ac:dyDescent="0.25">
      <c r="A13" s="310" t="s">
        <v>201</v>
      </c>
      <c r="B13" s="335">
        <v>288</v>
      </c>
      <c r="C13" s="311">
        <v>185</v>
      </c>
      <c r="D13" s="314">
        <f t="shared" si="0"/>
        <v>-0.35763888888888884</v>
      </c>
      <c r="E13" s="311">
        <v>274</v>
      </c>
      <c r="F13" s="314">
        <f t="shared" si="1"/>
        <v>-4.861111111111116E-2</v>
      </c>
      <c r="G13" s="311">
        <v>167</v>
      </c>
      <c r="H13" s="314">
        <f t="shared" si="2"/>
        <v>-0.42013888888888884</v>
      </c>
      <c r="I13" s="331">
        <f t="shared" si="3"/>
        <v>626</v>
      </c>
      <c r="J13" s="332">
        <f t="shared" si="4"/>
        <v>-0.27546296296296291</v>
      </c>
      <c r="K13" s="311">
        <v>297</v>
      </c>
      <c r="L13" s="314">
        <f t="shared" si="5"/>
        <v>3.125E-2</v>
      </c>
      <c r="M13" s="311">
        <v>256</v>
      </c>
      <c r="N13" s="314">
        <f t="shared" si="6"/>
        <v>-0.11111111111111116</v>
      </c>
      <c r="O13" s="311">
        <v>275</v>
      </c>
      <c r="P13" s="314">
        <f t="shared" si="7"/>
        <v>-4.513888888888884E-2</v>
      </c>
      <c r="Q13" s="331">
        <f t="shared" si="8"/>
        <v>828</v>
      </c>
      <c r="R13" s="332">
        <f t="shared" si="9"/>
        <v>-4.166666666666663E-2</v>
      </c>
    </row>
    <row r="14" spans="1:18" ht="15" customHeight="1" x14ac:dyDescent="0.25">
      <c r="A14" s="310" t="s">
        <v>215</v>
      </c>
      <c r="B14" s="335">
        <v>1008</v>
      </c>
      <c r="C14" s="311">
        <v>365</v>
      </c>
      <c r="D14" s="314">
        <f t="shared" si="0"/>
        <v>-0.63789682539682535</v>
      </c>
      <c r="E14" s="311">
        <v>691</v>
      </c>
      <c r="F14" s="314">
        <f t="shared" si="1"/>
        <v>-0.31448412698412698</v>
      </c>
      <c r="G14" s="311">
        <v>462</v>
      </c>
      <c r="H14" s="314">
        <f t="shared" si="2"/>
        <v>-0.54166666666666674</v>
      </c>
      <c r="I14" s="331">
        <f t="shared" si="3"/>
        <v>1518</v>
      </c>
      <c r="J14" s="332">
        <f t="shared" si="4"/>
        <v>-0.49801587301587302</v>
      </c>
      <c r="K14" s="311">
        <v>612</v>
      </c>
      <c r="L14" s="314">
        <f t="shared" si="5"/>
        <v>-0.3928571428571429</v>
      </c>
      <c r="M14" s="311">
        <v>640</v>
      </c>
      <c r="N14" s="314">
        <f t="shared" si="6"/>
        <v>-0.36507936507936511</v>
      </c>
      <c r="O14" s="311">
        <v>891</v>
      </c>
      <c r="P14" s="314">
        <f t="shared" si="7"/>
        <v>-0.1160714285714286</v>
      </c>
      <c r="Q14" s="331">
        <f t="shared" si="8"/>
        <v>2143</v>
      </c>
      <c r="R14" s="332">
        <f t="shared" si="9"/>
        <v>-0.29133597883597884</v>
      </c>
    </row>
    <row r="15" spans="1:18" ht="15" customHeight="1" x14ac:dyDescent="0.25">
      <c r="A15" s="310" t="s">
        <v>172</v>
      </c>
      <c r="B15" s="335">
        <v>526</v>
      </c>
      <c r="C15" s="311">
        <v>0</v>
      </c>
      <c r="D15" s="314">
        <f t="shared" si="0"/>
        <v>-1</v>
      </c>
      <c r="E15" s="311">
        <v>175</v>
      </c>
      <c r="F15" s="314">
        <f t="shared" si="1"/>
        <v>-0.66730038022813687</v>
      </c>
      <c r="G15" s="311">
        <v>180</v>
      </c>
      <c r="H15" s="314">
        <f t="shared" si="2"/>
        <v>-0.65779467680608361</v>
      </c>
      <c r="I15" s="331">
        <f t="shared" si="3"/>
        <v>355</v>
      </c>
      <c r="J15" s="332">
        <f t="shared" si="4"/>
        <v>-0.77503168567807346</v>
      </c>
      <c r="K15" s="311">
        <v>171</v>
      </c>
      <c r="L15" s="314">
        <f t="shared" si="5"/>
        <v>-0.67490494296577941</v>
      </c>
      <c r="M15" s="311">
        <v>152</v>
      </c>
      <c r="N15" s="314">
        <f t="shared" si="6"/>
        <v>-0.71102661596958172</v>
      </c>
      <c r="O15" s="311">
        <v>131</v>
      </c>
      <c r="P15" s="314">
        <f t="shared" si="7"/>
        <v>-0.75095057034220536</v>
      </c>
      <c r="Q15" s="331">
        <f t="shared" si="8"/>
        <v>454</v>
      </c>
      <c r="R15" s="332">
        <f t="shared" si="9"/>
        <v>-0.7122940430925222</v>
      </c>
    </row>
    <row r="16" spans="1:18" ht="15" customHeight="1" x14ac:dyDescent="0.25">
      <c r="A16" s="310" t="s">
        <v>163</v>
      </c>
      <c r="B16" s="335">
        <v>526</v>
      </c>
      <c r="C16" s="311">
        <v>244</v>
      </c>
      <c r="D16" s="314">
        <f t="shared" si="0"/>
        <v>-0.53612167300380231</v>
      </c>
      <c r="E16" s="311">
        <v>261</v>
      </c>
      <c r="F16" s="314">
        <f t="shared" si="1"/>
        <v>-0.50380228136882121</v>
      </c>
      <c r="G16" s="311">
        <v>251</v>
      </c>
      <c r="H16" s="314">
        <f t="shared" si="2"/>
        <v>-0.52281368821292773</v>
      </c>
      <c r="I16" s="331">
        <f t="shared" si="3"/>
        <v>756</v>
      </c>
      <c r="J16" s="332">
        <f t="shared" si="4"/>
        <v>-0.52091254752851712</v>
      </c>
      <c r="K16" s="311">
        <v>250</v>
      </c>
      <c r="L16" s="314">
        <f t="shared" si="5"/>
        <v>-0.52471482889733845</v>
      </c>
      <c r="M16" s="311">
        <v>234</v>
      </c>
      <c r="N16" s="314">
        <f t="shared" si="6"/>
        <v>-0.55513307984790883</v>
      </c>
      <c r="O16" s="311">
        <v>73</v>
      </c>
      <c r="P16" s="314">
        <f t="shared" si="7"/>
        <v>-0.86121673003802279</v>
      </c>
      <c r="Q16" s="331">
        <f t="shared" si="8"/>
        <v>557</v>
      </c>
      <c r="R16" s="332">
        <f t="shared" si="9"/>
        <v>-0.64702154626108999</v>
      </c>
    </row>
    <row r="17" spans="1:18" ht="15" customHeight="1" x14ac:dyDescent="0.25">
      <c r="A17" s="310" t="s">
        <v>162</v>
      </c>
      <c r="B17" s="335">
        <v>789</v>
      </c>
      <c r="C17" s="311">
        <v>523</v>
      </c>
      <c r="D17" s="314">
        <f t="shared" si="0"/>
        <v>-0.33713561470215458</v>
      </c>
      <c r="E17" s="311">
        <v>269</v>
      </c>
      <c r="F17" s="314">
        <f t="shared" si="1"/>
        <v>-0.65906210392902409</v>
      </c>
      <c r="G17" s="311">
        <v>557</v>
      </c>
      <c r="H17" s="314">
        <f t="shared" si="2"/>
        <v>-0.29404309252217997</v>
      </c>
      <c r="I17" s="331">
        <f t="shared" si="3"/>
        <v>1349</v>
      </c>
      <c r="J17" s="332">
        <f t="shared" si="4"/>
        <v>-0.43008027038445285</v>
      </c>
      <c r="K17" s="311">
        <v>441</v>
      </c>
      <c r="L17" s="314">
        <f t="shared" si="5"/>
        <v>-0.44106463878326996</v>
      </c>
      <c r="M17" s="311">
        <v>506</v>
      </c>
      <c r="N17" s="314">
        <f t="shared" si="6"/>
        <v>-0.35868187579214195</v>
      </c>
      <c r="O17" s="311">
        <v>405</v>
      </c>
      <c r="P17" s="314">
        <f t="shared" si="7"/>
        <v>-0.48669201520912553</v>
      </c>
      <c r="Q17" s="331">
        <f t="shared" si="8"/>
        <v>1352</v>
      </c>
      <c r="R17" s="332">
        <f t="shared" si="9"/>
        <v>-0.42881284326151248</v>
      </c>
    </row>
    <row r="18" spans="1:18" ht="15.75" customHeight="1" thickBot="1" x14ac:dyDescent="0.3">
      <c r="A18" s="323" t="s">
        <v>387</v>
      </c>
      <c r="B18" s="342">
        <v>166</v>
      </c>
      <c r="C18" s="329">
        <v>127</v>
      </c>
      <c r="D18" s="330">
        <f t="shared" si="0"/>
        <v>-0.23493975903614461</v>
      </c>
      <c r="E18" s="329">
        <v>199</v>
      </c>
      <c r="F18" s="330">
        <f t="shared" si="1"/>
        <v>0.1987951807228916</v>
      </c>
      <c r="G18" s="329">
        <v>136</v>
      </c>
      <c r="H18" s="760">
        <f t="shared" si="2"/>
        <v>-0.18072289156626509</v>
      </c>
      <c r="I18" s="331">
        <f t="shared" si="3"/>
        <v>462</v>
      </c>
      <c r="J18" s="759">
        <f t="shared" si="4"/>
        <v>-7.2289156626506035E-2</v>
      </c>
      <c r="K18" s="329">
        <v>83</v>
      </c>
      <c r="L18" s="330">
        <f t="shared" si="5"/>
        <v>-0.5</v>
      </c>
      <c r="M18" s="329">
        <v>146</v>
      </c>
      <c r="N18" s="330">
        <f t="shared" si="6"/>
        <v>-0.12048192771084343</v>
      </c>
      <c r="O18" s="329">
        <v>148</v>
      </c>
      <c r="P18" s="760">
        <f t="shared" si="7"/>
        <v>-0.10843373493975905</v>
      </c>
      <c r="Q18" s="331">
        <f t="shared" si="8"/>
        <v>377</v>
      </c>
      <c r="R18" s="759">
        <f t="shared" si="9"/>
        <v>-0.24297188755020083</v>
      </c>
    </row>
    <row r="19" spans="1:18" ht="15.75" customHeight="1" thickBot="1" x14ac:dyDescent="0.3">
      <c r="A19" s="50" t="s">
        <v>2</v>
      </c>
      <c r="B19" s="370">
        <f>SUM(B7:B18)</f>
        <v>5772</v>
      </c>
      <c r="C19" s="54">
        <f>SUM(C7:C18)</f>
        <v>3406</v>
      </c>
      <c r="D19" s="59">
        <f t="shared" si="0"/>
        <v>-0.40990990990990994</v>
      </c>
      <c r="E19" s="54">
        <f>SUM(E7:E18)</f>
        <v>4050</v>
      </c>
      <c r="F19" s="59">
        <f t="shared" si="1"/>
        <v>-0.29833679833679838</v>
      </c>
      <c r="G19" s="54">
        <f>SUM(G7:G18)</f>
        <v>3754</v>
      </c>
      <c r="H19" s="371">
        <f t="shared" si="2"/>
        <v>-0.34961884961884959</v>
      </c>
      <c r="I19" s="372">
        <f t="shared" si="3"/>
        <v>11210</v>
      </c>
      <c r="J19" s="373">
        <f t="shared" si="4"/>
        <v>-0.35262185262185264</v>
      </c>
      <c r="K19" s="54">
        <f>SUM(K7:K18)</f>
        <v>4190</v>
      </c>
      <c r="L19" s="59">
        <f t="shared" si="5"/>
        <v>-0.27408177408177403</v>
      </c>
      <c r="M19" s="54">
        <f>SUM(M7:M18)</f>
        <v>4042</v>
      </c>
      <c r="N19" s="59">
        <f t="shared" si="6"/>
        <v>-0.29972279972279969</v>
      </c>
      <c r="O19" s="54">
        <f>SUM(O7:O18)</f>
        <v>3908</v>
      </c>
      <c r="P19" s="371">
        <f t="shared" si="7"/>
        <v>-0.32293832293832292</v>
      </c>
      <c r="Q19" s="372">
        <f t="shared" si="8"/>
        <v>12140</v>
      </c>
      <c r="R19" s="381">
        <f t="shared" si="9"/>
        <v>-0.29891429891429888</v>
      </c>
    </row>
    <row r="20" spans="1:18" ht="15" hidden="1" customHeight="1" x14ac:dyDescent="0.25">
      <c r="B20" s="31"/>
    </row>
    <row r="21" spans="1:18" ht="15" hidden="1" customHeight="1" x14ac:dyDescent="0.25"/>
    <row r="22" spans="1:18" ht="15.75" hidden="1" customHeight="1" x14ac:dyDescent="0.25">
      <c r="A22" s="808" t="s">
        <v>386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</row>
    <row r="23" spans="1:18" ht="24.75" hidden="1" customHeight="1" thickBot="1" x14ac:dyDescent="0.3">
      <c r="A23" s="120" t="s">
        <v>8</v>
      </c>
      <c r="B23" s="121" t="s">
        <v>9</v>
      </c>
      <c r="C23" s="122" t="str">
        <f>'UBS Vila Dalva 2º SEM'!C6</f>
        <v>JUL</v>
      </c>
      <c r="D23" s="123" t="str">
        <f>'UBS Vila Dalva 2º SEM'!D6</f>
        <v>%</v>
      </c>
      <c r="E23" s="122" t="str">
        <f>'UBS Vila Dalva 2º SEM'!E6</f>
        <v>AGO</v>
      </c>
      <c r="F23" s="123" t="str">
        <f>'UBS Vila Dalva 2º SEM'!F6</f>
        <v>%</v>
      </c>
      <c r="G23" s="122" t="str">
        <f>'UBS Vila Dalva 2º SEM'!G6</f>
        <v>SET</v>
      </c>
      <c r="H23" s="123" t="str">
        <f>'UBS Vila Dalva 2º SEM'!H6</f>
        <v>%</v>
      </c>
      <c r="I23" s="124" t="str">
        <f>'UBS Vila Dalva 2º SEM'!I6</f>
        <v>Trimestre</v>
      </c>
      <c r="J23" s="124" t="str">
        <f>'UBS Vila Dalva 2º SEM'!J6</f>
        <v>%</v>
      </c>
      <c r="K23" s="122" t="str">
        <f>'UBS Vila Dalva 2º SEM'!K6</f>
        <v>OUT</v>
      </c>
      <c r="L23" s="123" t="str">
        <f>'UBS Vila Dalva 2º SEM'!L6</f>
        <v>%</v>
      </c>
      <c r="M23" s="122" t="str">
        <f>'UBS Vila Dalva 2º SEM'!M6</f>
        <v>NOV</v>
      </c>
      <c r="N23" s="123" t="str">
        <f>'UBS Vila Dalva 2º SEM'!N6</f>
        <v>%</v>
      </c>
      <c r="O23" s="122" t="str">
        <f>'UBS Vila Dalva 2º SEM'!O6</f>
        <v>DEZ</v>
      </c>
      <c r="P23" s="123" t="str">
        <f>'UBS Vila Dalva 2º SEM'!P6</f>
        <v>%</v>
      </c>
      <c r="Q23" s="124" t="str">
        <f>'UBS Vila Dalva 2º SEM'!Q6</f>
        <v>Trimestre</v>
      </c>
      <c r="R23" s="124" t="str">
        <f>'UBS Vila Dalva 2º SEM'!R6</f>
        <v>%</v>
      </c>
    </row>
    <row r="24" spans="1:18" ht="15.75" hidden="1" customHeight="1" thickTop="1" x14ac:dyDescent="0.25">
      <c r="A24" s="742" t="s">
        <v>143</v>
      </c>
      <c r="B24" s="741">
        <v>6</v>
      </c>
      <c r="C24" s="204">
        <v>6</v>
      </c>
      <c r="D24" s="209">
        <f t="shared" ref="D24:D38" si="10">((C24/$B24))-1</f>
        <v>0</v>
      </c>
      <c r="E24" s="204">
        <v>6</v>
      </c>
      <c r="F24" s="209">
        <f t="shared" ref="F24:F38" si="11">((E24/$B24))-1</f>
        <v>0</v>
      </c>
      <c r="G24" s="204">
        <v>6</v>
      </c>
      <c r="H24" s="209">
        <f t="shared" ref="H24:H38" si="12">((G24/$B24))-1</f>
        <v>0</v>
      </c>
      <c r="I24" s="210">
        <f t="shared" ref="I24:I38" si="13">C24+E24+G24</f>
        <v>18</v>
      </c>
      <c r="J24" s="211">
        <f t="shared" ref="J24:J38" si="14">((I24/(3*$B24)))-1</f>
        <v>0</v>
      </c>
      <c r="K24" s="204">
        <v>6</v>
      </c>
      <c r="L24" s="209">
        <f t="shared" ref="L24:L38" si="15">((K24/$B24))-1</f>
        <v>0</v>
      </c>
      <c r="M24" s="204"/>
      <c r="N24" s="209">
        <f t="shared" ref="N24:N38" si="16">((M24/$B24))-1</f>
        <v>-1</v>
      </c>
      <c r="O24" s="204"/>
      <c r="P24" s="209">
        <f t="shared" ref="P24:P38" si="17">((O24/$B24))-1</f>
        <v>-1</v>
      </c>
      <c r="Q24" s="210">
        <f t="shared" ref="Q24:Q38" si="18">K24+M24+O24</f>
        <v>6</v>
      </c>
      <c r="R24" s="211">
        <f t="shared" ref="R24:R38" si="19">((Q24/(3*$B24)))-1</f>
        <v>-0.66666666666666674</v>
      </c>
    </row>
    <row r="25" spans="1:18" ht="15" hidden="1" customHeight="1" x14ac:dyDescent="0.25">
      <c r="A25" s="742" t="s">
        <v>165</v>
      </c>
      <c r="B25" s="741">
        <v>1</v>
      </c>
      <c r="C25" s="758">
        <v>0.5</v>
      </c>
      <c r="D25" s="209">
        <f t="shared" si="10"/>
        <v>-0.5</v>
      </c>
      <c r="E25" s="758">
        <v>0.5</v>
      </c>
      <c r="F25" s="209">
        <f t="shared" si="11"/>
        <v>-0.5</v>
      </c>
      <c r="G25" s="758">
        <v>0.5</v>
      </c>
      <c r="H25" s="209">
        <f t="shared" si="12"/>
        <v>-0.5</v>
      </c>
      <c r="I25" s="210">
        <f t="shared" si="13"/>
        <v>1.5</v>
      </c>
      <c r="J25" s="211">
        <f t="shared" si="14"/>
        <v>-0.5</v>
      </c>
      <c r="K25" s="758">
        <v>0.5</v>
      </c>
      <c r="L25" s="209">
        <f t="shared" si="15"/>
        <v>-0.5</v>
      </c>
      <c r="M25" s="204"/>
      <c r="N25" s="209">
        <f t="shared" si="16"/>
        <v>-1</v>
      </c>
      <c r="O25" s="204"/>
      <c r="P25" s="209">
        <f t="shared" si="17"/>
        <v>-1</v>
      </c>
      <c r="Q25" s="210">
        <f t="shared" si="18"/>
        <v>0.5</v>
      </c>
      <c r="R25" s="211">
        <f t="shared" si="19"/>
        <v>-0.83333333333333337</v>
      </c>
    </row>
    <row r="26" spans="1:18" ht="15" hidden="1" customHeight="1" x14ac:dyDescent="0.25">
      <c r="A26" s="742" t="s">
        <v>186</v>
      </c>
      <c r="B26" s="738">
        <v>1</v>
      </c>
      <c r="C26" s="736">
        <v>1</v>
      </c>
      <c r="D26" s="209">
        <f t="shared" si="10"/>
        <v>0</v>
      </c>
      <c r="E26" s="736">
        <v>1</v>
      </c>
      <c r="F26" s="209">
        <f t="shared" si="11"/>
        <v>0</v>
      </c>
      <c r="G26" s="736">
        <v>1</v>
      </c>
      <c r="H26" s="209">
        <f t="shared" si="12"/>
        <v>0</v>
      </c>
      <c r="I26" s="210">
        <f t="shared" si="13"/>
        <v>3</v>
      </c>
      <c r="J26" s="211">
        <f t="shared" si="14"/>
        <v>0</v>
      </c>
      <c r="K26" s="736">
        <v>1</v>
      </c>
      <c r="L26" s="209">
        <f t="shared" si="15"/>
        <v>0</v>
      </c>
      <c r="M26" s="736"/>
      <c r="N26" s="209">
        <f t="shared" si="16"/>
        <v>-1</v>
      </c>
      <c r="O26" s="736"/>
      <c r="P26" s="209">
        <f t="shared" si="17"/>
        <v>-1</v>
      </c>
      <c r="Q26" s="210">
        <f t="shared" si="18"/>
        <v>1</v>
      </c>
      <c r="R26" s="211">
        <f t="shared" si="19"/>
        <v>-0.66666666666666674</v>
      </c>
    </row>
    <row r="27" spans="1:18" ht="15" hidden="1" customHeight="1" x14ac:dyDescent="0.25">
      <c r="A27" s="49" t="s">
        <v>385</v>
      </c>
      <c r="B27" s="752">
        <v>2</v>
      </c>
      <c r="C27" s="456">
        <v>2</v>
      </c>
      <c r="D27" s="728">
        <f t="shared" si="10"/>
        <v>0</v>
      </c>
      <c r="E27" s="456">
        <v>2</v>
      </c>
      <c r="F27" s="728">
        <f t="shared" si="11"/>
        <v>0</v>
      </c>
      <c r="G27" s="456">
        <v>2</v>
      </c>
      <c r="H27" s="728">
        <f t="shared" si="12"/>
        <v>0</v>
      </c>
      <c r="I27" s="729">
        <f t="shared" si="13"/>
        <v>6</v>
      </c>
      <c r="J27" s="730">
        <f t="shared" si="14"/>
        <v>0</v>
      </c>
      <c r="K27" s="456">
        <v>2</v>
      </c>
      <c r="L27" s="728">
        <f t="shared" si="15"/>
        <v>0</v>
      </c>
      <c r="M27" s="456"/>
      <c r="N27" s="728">
        <f t="shared" si="16"/>
        <v>-1</v>
      </c>
      <c r="O27" s="456"/>
      <c r="P27" s="728">
        <f t="shared" si="17"/>
        <v>-1</v>
      </c>
      <c r="Q27" s="729">
        <f t="shared" si="18"/>
        <v>2</v>
      </c>
      <c r="R27" s="730">
        <f t="shared" si="19"/>
        <v>-0.66666666666666674</v>
      </c>
    </row>
    <row r="28" spans="1:18" ht="15" hidden="1" customHeight="1" x14ac:dyDescent="0.25">
      <c r="A28" s="310" t="s">
        <v>384</v>
      </c>
      <c r="B28" s="315">
        <v>1</v>
      </c>
      <c r="C28" s="311">
        <v>1</v>
      </c>
      <c r="D28" s="314">
        <f t="shared" si="10"/>
        <v>0</v>
      </c>
      <c r="E28" s="311">
        <v>1</v>
      </c>
      <c r="F28" s="314">
        <f t="shared" si="11"/>
        <v>0</v>
      </c>
      <c r="G28" s="311">
        <v>1</v>
      </c>
      <c r="H28" s="314">
        <f t="shared" si="12"/>
        <v>0</v>
      </c>
      <c r="I28" s="313">
        <f t="shared" si="13"/>
        <v>3</v>
      </c>
      <c r="J28" s="318">
        <f t="shared" si="14"/>
        <v>0</v>
      </c>
      <c r="K28" s="311">
        <v>1</v>
      </c>
      <c r="L28" s="314">
        <f t="shared" si="15"/>
        <v>0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1</v>
      </c>
      <c r="R28" s="318">
        <f t="shared" si="19"/>
        <v>-0.66666666666666674</v>
      </c>
    </row>
    <row r="29" spans="1:18" ht="15" hidden="1" customHeight="1" x14ac:dyDescent="0.25">
      <c r="A29" s="310" t="s">
        <v>383</v>
      </c>
      <c r="B29" s="315">
        <v>1</v>
      </c>
      <c r="C29" s="721">
        <v>0.5</v>
      </c>
      <c r="D29" s="314">
        <f t="shared" si="10"/>
        <v>-0.5</v>
      </c>
      <c r="E29" s="721">
        <v>0.5</v>
      </c>
      <c r="F29" s="314">
        <f t="shared" si="11"/>
        <v>-0.5</v>
      </c>
      <c r="G29" s="721">
        <v>0.5</v>
      </c>
      <c r="H29" s="314">
        <f t="shared" si="12"/>
        <v>-0.5</v>
      </c>
      <c r="I29" s="313">
        <f t="shared" si="13"/>
        <v>1.5</v>
      </c>
      <c r="J29" s="318">
        <f t="shared" si="14"/>
        <v>-0.5</v>
      </c>
      <c r="K29" s="721">
        <v>0.5</v>
      </c>
      <c r="L29" s="314">
        <f t="shared" si="15"/>
        <v>-0.5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0.5</v>
      </c>
      <c r="R29" s="318">
        <f t="shared" si="19"/>
        <v>-0.83333333333333337</v>
      </c>
    </row>
    <row r="30" spans="1:18" ht="15" hidden="1" customHeight="1" x14ac:dyDescent="0.25">
      <c r="A30" s="310" t="s">
        <v>206</v>
      </c>
      <c r="B30" s="315">
        <v>3</v>
      </c>
      <c r="C30" s="311">
        <v>3</v>
      </c>
      <c r="D30" s="314">
        <f t="shared" si="10"/>
        <v>0</v>
      </c>
      <c r="E30" s="311">
        <v>3</v>
      </c>
      <c r="F30" s="314">
        <f t="shared" si="11"/>
        <v>0</v>
      </c>
      <c r="G30" s="311">
        <v>3</v>
      </c>
      <c r="H30" s="314">
        <f t="shared" si="12"/>
        <v>0</v>
      </c>
      <c r="I30" s="313">
        <f t="shared" si="13"/>
        <v>9</v>
      </c>
      <c r="J30" s="318">
        <f t="shared" si="14"/>
        <v>0</v>
      </c>
      <c r="K30" s="311">
        <v>3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3</v>
      </c>
      <c r="R30" s="318">
        <f t="shared" si="19"/>
        <v>-0.66666666666666674</v>
      </c>
    </row>
    <row r="31" spans="1:18" ht="15" hidden="1" customHeight="1" x14ac:dyDescent="0.25">
      <c r="A31" s="310" t="s">
        <v>167</v>
      </c>
      <c r="B31" s="315">
        <v>2</v>
      </c>
      <c r="C31" s="311">
        <v>0</v>
      </c>
      <c r="D31" s="314">
        <f t="shared" si="10"/>
        <v>-1</v>
      </c>
      <c r="E31" s="311">
        <v>1</v>
      </c>
      <c r="F31" s="314">
        <f t="shared" si="11"/>
        <v>-0.5</v>
      </c>
      <c r="G31" s="311">
        <v>1</v>
      </c>
      <c r="H31" s="314">
        <f t="shared" si="12"/>
        <v>-0.5</v>
      </c>
      <c r="I31" s="313">
        <f t="shared" si="13"/>
        <v>2</v>
      </c>
      <c r="J31" s="318">
        <f t="shared" si="14"/>
        <v>-0.66666666666666674</v>
      </c>
      <c r="K31" s="311">
        <v>1</v>
      </c>
      <c r="L31" s="314">
        <f t="shared" si="15"/>
        <v>-0.5</v>
      </c>
      <c r="M31" s="311"/>
      <c r="N31" s="314">
        <f t="shared" si="16"/>
        <v>-1</v>
      </c>
      <c r="O31" s="311"/>
      <c r="P31" s="314">
        <f t="shared" si="17"/>
        <v>-1</v>
      </c>
      <c r="Q31" s="313">
        <f t="shared" si="18"/>
        <v>1</v>
      </c>
      <c r="R31" s="318">
        <f t="shared" si="19"/>
        <v>-0.83333333333333337</v>
      </c>
    </row>
    <row r="32" spans="1:18" ht="15" hidden="1" customHeight="1" x14ac:dyDescent="0.25">
      <c r="A32" s="310" t="s">
        <v>169</v>
      </c>
      <c r="B32" s="315">
        <v>2</v>
      </c>
      <c r="C32" s="311">
        <v>1</v>
      </c>
      <c r="D32" s="314">
        <f t="shared" si="10"/>
        <v>-0.5</v>
      </c>
      <c r="E32" s="311">
        <v>1</v>
      </c>
      <c r="F32" s="314">
        <f t="shared" si="11"/>
        <v>-0.5</v>
      </c>
      <c r="G32" s="311">
        <v>1</v>
      </c>
      <c r="H32" s="314">
        <f t="shared" si="12"/>
        <v>-0.5</v>
      </c>
      <c r="I32" s="313">
        <f t="shared" si="13"/>
        <v>3</v>
      </c>
      <c r="J32" s="318">
        <f t="shared" si="14"/>
        <v>-0.5</v>
      </c>
      <c r="K32" s="311">
        <v>1</v>
      </c>
      <c r="L32" s="314">
        <f t="shared" si="15"/>
        <v>-0.5</v>
      </c>
      <c r="M32" s="311"/>
      <c r="N32" s="314">
        <f t="shared" si="16"/>
        <v>-1</v>
      </c>
      <c r="O32" s="311"/>
      <c r="P32" s="314">
        <f t="shared" si="17"/>
        <v>-1</v>
      </c>
      <c r="Q32" s="313">
        <f t="shared" si="18"/>
        <v>1</v>
      </c>
      <c r="R32" s="318">
        <f t="shared" si="19"/>
        <v>-0.83333333333333337</v>
      </c>
    </row>
    <row r="33" spans="1:18" ht="15" hidden="1" customHeight="1" x14ac:dyDescent="0.25">
      <c r="A33" s="310" t="s">
        <v>168</v>
      </c>
      <c r="B33" s="315">
        <v>3</v>
      </c>
      <c r="C33" s="311">
        <v>3</v>
      </c>
      <c r="D33" s="314">
        <f t="shared" si="10"/>
        <v>0</v>
      </c>
      <c r="E33" s="311">
        <v>3</v>
      </c>
      <c r="F33" s="314">
        <f t="shared" si="11"/>
        <v>0</v>
      </c>
      <c r="G33" s="311">
        <v>3</v>
      </c>
      <c r="H33" s="314">
        <f t="shared" si="12"/>
        <v>0</v>
      </c>
      <c r="I33" s="313">
        <f t="shared" si="13"/>
        <v>9</v>
      </c>
      <c r="J33" s="318">
        <f t="shared" si="14"/>
        <v>0</v>
      </c>
      <c r="K33" s="311">
        <v>3</v>
      </c>
      <c r="L33" s="314">
        <f t="shared" si="15"/>
        <v>0</v>
      </c>
      <c r="M33" s="311"/>
      <c r="N33" s="314">
        <f t="shared" si="16"/>
        <v>-1</v>
      </c>
      <c r="O33" s="311"/>
      <c r="P33" s="314">
        <f t="shared" si="17"/>
        <v>-1</v>
      </c>
      <c r="Q33" s="313">
        <f t="shared" si="18"/>
        <v>3</v>
      </c>
      <c r="R33" s="318">
        <f t="shared" si="19"/>
        <v>-0.66666666666666674</v>
      </c>
    </row>
    <row r="34" spans="1:18" ht="15" hidden="1" customHeight="1" x14ac:dyDescent="0.25">
      <c r="A34" s="310" t="s">
        <v>207</v>
      </c>
      <c r="B34" s="315">
        <v>1</v>
      </c>
      <c r="C34" s="311">
        <v>1</v>
      </c>
      <c r="D34" s="314">
        <f t="shared" si="10"/>
        <v>0</v>
      </c>
      <c r="E34" s="311">
        <v>1</v>
      </c>
      <c r="F34" s="314">
        <f t="shared" si="11"/>
        <v>0</v>
      </c>
      <c r="G34" s="311">
        <v>1</v>
      </c>
      <c r="H34" s="314">
        <f t="shared" si="12"/>
        <v>0</v>
      </c>
      <c r="I34" s="313">
        <f t="shared" si="13"/>
        <v>3</v>
      </c>
      <c r="J34" s="318">
        <f t="shared" si="14"/>
        <v>0</v>
      </c>
      <c r="K34" s="311">
        <v>1</v>
      </c>
      <c r="L34" s="314">
        <f t="shared" si="15"/>
        <v>0</v>
      </c>
      <c r="M34" s="311"/>
      <c r="N34" s="314">
        <f t="shared" si="16"/>
        <v>-1</v>
      </c>
      <c r="O34" s="311"/>
      <c r="P34" s="314">
        <f t="shared" si="17"/>
        <v>-1</v>
      </c>
      <c r="Q34" s="313">
        <f t="shared" si="18"/>
        <v>1</v>
      </c>
      <c r="R34" s="318">
        <f t="shared" si="19"/>
        <v>-0.66666666666666674</v>
      </c>
    </row>
    <row r="35" spans="1:18" ht="15" hidden="1" customHeight="1" x14ac:dyDescent="0.25">
      <c r="A35" s="310" t="s">
        <v>184</v>
      </c>
      <c r="B35" s="335">
        <v>2</v>
      </c>
      <c r="C35" s="311">
        <v>2</v>
      </c>
      <c r="D35" s="314">
        <f t="shared" si="10"/>
        <v>0</v>
      </c>
      <c r="E35" s="311">
        <v>2</v>
      </c>
      <c r="F35" s="314">
        <f t="shared" si="11"/>
        <v>0</v>
      </c>
      <c r="G35" s="311">
        <v>2</v>
      </c>
      <c r="H35" s="314">
        <f t="shared" si="12"/>
        <v>0</v>
      </c>
      <c r="I35" s="313">
        <f t="shared" si="13"/>
        <v>6</v>
      </c>
      <c r="J35" s="318">
        <f t="shared" si="14"/>
        <v>0</v>
      </c>
      <c r="K35" s="311">
        <v>2</v>
      </c>
      <c r="L35" s="314">
        <f t="shared" si="15"/>
        <v>0</v>
      </c>
      <c r="M35" s="311"/>
      <c r="N35" s="314">
        <f t="shared" si="16"/>
        <v>-1</v>
      </c>
      <c r="O35" s="311"/>
      <c r="P35" s="314">
        <f t="shared" si="17"/>
        <v>-1</v>
      </c>
      <c r="Q35" s="313">
        <f t="shared" si="18"/>
        <v>2</v>
      </c>
      <c r="R35" s="318">
        <f t="shared" si="19"/>
        <v>-0.66666666666666674</v>
      </c>
    </row>
    <row r="36" spans="1:18" ht="15" hidden="1" customHeight="1" x14ac:dyDescent="0.25">
      <c r="A36" s="757" t="s">
        <v>145</v>
      </c>
      <c r="B36" s="337">
        <v>2</v>
      </c>
      <c r="C36" s="709">
        <v>2</v>
      </c>
      <c r="D36" s="314">
        <f t="shared" si="10"/>
        <v>0</v>
      </c>
      <c r="E36" s="709">
        <v>2</v>
      </c>
      <c r="F36" s="314">
        <f t="shared" si="11"/>
        <v>0</v>
      </c>
      <c r="G36" s="709">
        <v>2</v>
      </c>
      <c r="H36" s="314">
        <f t="shared" si="12"/>
        <v>0</v>
      </c>
      <c r="I36" s="313">
        <f t="shared" si="13"/>
        <v>6</v>
      </c>
      <c r="J36" s="318">
        <f t="shared" si="14"/>
        <v>0</v>
      </c>
      <c r="K36" s="709">
        <v>2</v>
      </c>
      <c r="L36" s="314">
        <f t="shared" si="15"/>
        <v>0</v>
      </c>
      <c r="M36" s="336"/>
      <c r="N36" s="314">
        <f t="shared" si="16"/>
        <v>-1</v>
      </c>
      <c r="O36" s="336"/>
      <c r="P36" s="314">
        <f t="shared" si="17"/>
        <v>-1</v>
      </c>
      <c r="Q36" s="313">
        <f t="shared" si="18"/>
        <v>2</v>
      </c>
      <c r="R36" s="318">
        <f t="shared" si="19"/>
        <v>-0.66666666666666674</v>
      </c>
    </row>
    <row r="37" spans="1:18" hidden="1" x14ac:dyDescent="0.25">
      <c r="A37" s="756" t="s">
        <v>153</v>
      </c>
      <c r="B37" s="755">
        <v>1</v>
      </c>
      <c r="C37" s="754">
        <v>1</v>
      </c>
      <c r="D37" s="330">
        <f t="shared" si="10"/>
        <v>0</v>
      </c>
      <c r="E37" s="754">
        <v>1</v>
      </c>
      <c r="F37" s="330">
        <f t="shared" si="11"/>
        <v>0</v>
      </c>
      <c r="G37" s="754">
        <v>1</v>
      </c>
      <c r="H37" s="330">
        <f t="shared" si="12"/>
        <v>0</v>
      </c>
      <c r="I37" s="331">
        <f t="shared" si="13"/>
        <v>3</v>
      </c>
      <c r="J37" s="332">
        <f t="shared" si="14"/>
        <v>0</v>
      </c>
      <c r="K37" s="754">
        <v>1</v>
      </c>
      <c r="L37" s="330">
        <f t="shared" si="15"/>
        <v>0</v>
      </c>
      <c r="M37" s="753"/>
      <c r="N37" s="330">
        <f t="shared" si="16"/>
        <v>-1</v>
      </c>
      <c r="O37" s="753"/>
      <c r="P37" s="330">
        <f t="shared" si="17"/>
        <v>-1</v>
      </c>
      <c r="Q37" s="331">
        <f t="shared" si="18"/>
        <v>1</v>
      </c>
      <c r="R37" s="332">
        <f t="shared" si="19"/>
        <v>-0.66666666666666674</v>
      </c>
    </row>
    <row r="38" spans="1:18" ht="15.75" hidden="1" thickBot="1" x14ac:dyDescent="0.3">
      <c r="A38" s="50" t="s">
        <v>2</v>
      </c>
      <c r="B38" s="370">
        <f>SUM(B24:B37)</f>
        <v>28</v>
      </c>
      <c r="C38" s="54">
        <f>SUM(C27:C37)</f>
        <v>16.5</v>
      </c>
      <c r="D38" s="382">
        <f t="shared" si="10"/>
        <v>-0.4107142857142857</v>
      </c>
      <c r="E38" s="54">
        <f>SUM(E27:E37)</f>
        <v>17.5</v>
      </c>
      <c r="F38" s="382">
        <f t="shared" si="11"/>
        <v>-0.375</v>
      </c>
      <c r="G38" s="54">
        <f>SUM(G27:G37)</f>
        <v>17.5</v>
      </c>
      <c r="H38" s="383">
        <f t="shared" si="12"/>
        <v>-0.375</v>
      </c>
      <c r="I38" s="372">
        <f t="shared" si="13"/>
        <v>51.5</v>
      </c>
      <c r="J38" s="373">
        <f t="shared" si="14"/>
        <v>-0.38690476190476186</v>
      </c>
      <c r="K38" s="54">
        <f>SUM(K27:K37)</f>
        <v>17.5</v>
      </c>
      <c r="L38" s="382">
        <f t="shared" si="15"/>
        <v>-0.375</v>
      </c>
      <c r="M38" s="54">
        <f>SUM(M27:M37)</f>
        <v>0</v>
      </c>
      <c r="N38" s="382">
        <f t="shared" si="16"/>
        <v>-1</v>
      </c>
      <c r="O38" s="54">
        <f>SUM(O27:O37)</f>
        <v>0</v>
      </c>
      <c r="P38" s="383">
        <f t="shared" si="17"/>
        <v>-1</v>
      </c>
      <c r="Q38" s="372">
        <f t="shared" si="18"/>
        <v>17.5</v>
      </c>
      <c r="R38" s="381">
        <f t="shared" si="19"/>
        <v>-0.79166666666666663</v>
      </c>
    </row>
  </sheetData>
  <mergeCells count="4">
    <mergeCell ref="A2:R2"/>
    <mergeCell ref="A3:R3"/>
    <mergeCell ref="A22:R22"/>
    <mergeCell ref="A5:R5"/>
  </mergeCells>
  <pageMargins left="0.23622047244094491" right="0.23622047244094491" top="0.47244094488188981" bottom="0.74803149606299213" header="0.31496062992125984" footer="0.31496062992125984"/>
  <pageSetup paperSize="9" scale="82" orientation="landscape" r:id="rId1"/>
  <headerFooter>
    <oddFooter>&amp;L&amp;10Fonte: Sistema WEBSAASS / SMS&amp;R&amp;10pag. 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43.28515625" customWidth="1"/>
    <col min="2" max="2" width="8.85546875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800" t="str">
        <f>'UBS E NASF Malta Cardoso 1° SEM'!A2</f>
        <v>REDE ASSISTENCIAL DA STS  BUTANTÃ  - ANO 2017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tr">
        <f>'UBS E NASF Malta Cardoso 1° SEM'!A3</f>
        <v>OSS/SPDM – Associação Paulista para o Desenvolvimento da Medicina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351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64" t="s">
        <v>8</v>
      </c>
      <c r="B6" s="341" t="s">
        <v>9</v>
      </c>
      <c r="C6" s="325" t="str">
        <f>'UBS Vila Dalva 1° SEM'!C6</f>
        <v>JAN</v>
      </c>
      <c r="D6" s="326" t="str">
        <f>'UBS Vila Dalva 1° SEM'!D6</f>
        <v>%</v>
      </c>
      <c r="E6" s="325" t="str">
        <f>'UBS Vila Dalva 1° SEM'!E6</f>
        <v>FEV</v>
      </c>
      <c r="F6" s="326" t="str">
        <f>'UBS Vila Dalva 1° SEM'!F6</f>
        <v>%</v>
      </c>
      <c r="G6" s="325" t="str">
        <f>'UBS Vila Dalva 1° SEM'!G6</f>
        <v>MAR</v>
      </c>
      <c r="H6" s="326" t="str">
        <f>'UBS Vila Dalva 1° SEM'!H6</f>
        <v>%</v>
      </c>
      <c r="I6" s="327" t="str">
        <f>'UBS Vila Dalva 1° SEM'!I6</f>
        <v>Trimestre</v>
      </c>
      <c r="J6" s="327" t="str">
        <f>'UBS Vila Dalva 1° SEM'!J6</f>
        <v>%</v>
      </c>
      <c r="K6" s="325" t="str">
        <f>'UBS Vila Dalva 1° SEM'!K6</f>
        <v>ABR</v>
      </c>
      <c r="L6" s="326" t="str">
        <f>'UBS Vila Dalva 1° SEM'!L6</f>
        <v>%</v>
      </c>
      <c r="M6" s="325" t="str">
        <f>'UBS Vila Dalva 1° SEM'!M6</f>
        <v>MAI</v>
      </c>
      <c r="N6" s="326" t="str">
        <f>'UBS Vila Dalva 1° SEM'!N6</f>
        <v>%</v>
      </c>
      <c r="O6" s="325" t="str">
        <f>'UBS Vila Dalva 1° SEM'!O6</f>
        <v>JUN</v>
      </c>
      <c r="P6" s="326" t="str">
        <f>'UBS Vila Dalva 1° SEM'!P6</f>
        <v>%</v>
      </c>
      <c r="Q6" s="327" t="str">
        <f>'UBS Vila Dalva 1° SEM'!Q6</f>
        <v>Trimestre</v>
      </c>
      <c r="R6" s="327" t="str">
        <f>'UBS Vila Dalva 1° SEM'!R6</f>
        <v>%</v>
      </c>
    </row>
    <row r="7" spans="1:18" ht="15.75" thickTop="1" x14ac:dyDescent="0.25">
      <c r="A7" s="324" t="s">
        <v>158</v>
      </c>
      <c r="B7" s="335">
        <v>3600</v>
      </c>
      <c r="C7" s="311">
        <v>3156</v>
      </c>
      <c r="D7" s="314">
        <f>((C7/$B7))-1</f>
        <v>-0.12333333333333329</v>
      </c>
      <c r="E7" s="311">
        <v>3386</v>
      </c>
      <c r="F7" s="314">
        <f>((E7/$B7))-1</f>
        <v>-5.9444444444444411E-2</v>
      </c>
      <c r="G7" s="311">
        <v>3630</v>
      </c>
      <c r="H7" s="314">
        <f>((G7/$B7))-1</f>
        <v>8.3333333333333037E-3</v>
      </c>
      <c r="I7" s="313">
        <f>C7+E7+G7</f>
        <v>10172</v>
      </c>
      <c r="J7" s="318">
        <f>((I7/(3*$B7)))-1</f>
        <v>-5.8148148148148171E-2</v>
      </c>
      <c r="K7" s="311">
        <v>3216</v>
      </c>
      <c r="L7" s="314">
        <f>((K7/$B7))-1</f>
        <v>-0.10666666666666669</v>
      </c>
      <c r="M7" s="311">
        <v>3411</v>
      </c>
      <c r="N7" s="314">
        <f>((M7/$B7))-1</f>
        <v>-5.2499999999999991E-2</v>
      </c>
      <c r="O7" s="311">
        <v>3171</v>
      </c>
      <c r="P7" s="314">
        <f>((O7/$B7))-1</f>
        <v>-0.11916666666666664</v>
      </c>
      <c r="Q7" s="313">
        <f>K7+M7+O7</f>
        <v>9798</v>
      </c>
      <c r="R7" s="318">
        <f>((Q7/(3*$B7)))-1</f>
        <v>-9.2777777777777737E-2</v>
      </c>
    </row>
    <row r="8" spans="1:18" x14ac:dyDescent="0.25">
      <c r="A8" s="324" t="s">
        <v>159</v>
      </c>
      <c r="B8" s="335">
        <v>1248</v>
      </c>
      <c r="C8" s="311">
        <v>1068</v>
      </c>
      <c r="D8" s="314">
        <f t="shared" ref="D8:D17" si="0">((C8/$B8))-1</f>
        <v>-0.14423076923076927</v>
      </c>
      <c r="E8" s="311">
        <v>1541</v>
      </c>
      <c r="F8" s="314">
        <f t="shared" ref="F8:F17" si="1">((E8/$B8))-1</f>
        <v>0.23477564102564097</v>
      </c>
      <c r="G8" s="311">
        <v>1092</v>
      </c>
      <c r="H8" s="314">
        <f t="shared" ref="H8:H17" si="2">((G8/$B8))-1</f>
        <v>-0.125</v>
      </c>
      <c r="I8" s="313">
        <f t="shared" ref="I8:I12" si="3">C8+E8+G8</f>
        <v>3701</v>
      </c>
      <c r="J8" s="318">
        <f t="shared" ref="J8:J15" si="4">((I8/(3*$B8)))-1</f>
        <v>-1.1485042735042694E-2</v>
      </c>
      <c r="K8" s="311">
        <v>1211</v>
      </c>
      <c r="L8" s="314">
        <f t="shared" ref="L8:L17" si="5">((K8/$B8))-1</f>
        <v>-2.9647435897435903E-2</v>
      </c>
      <c r="M8" s="311">
        <v>1631</v>
      </c>
      <c r="N8" s="314">
        <f t="shared" ref="N8:N17" si="6">((M8/$B8))-1</f>
        <v>0.30689102564102555</v>
      </c>
      <c r="O8" s="311">
        <v>1226</v>
      </c>
      <c r="P8" s="314">
        <f t="shared" ref="P8:P16" si="7">((O8/$B8))-1</f>
        <v>-1.7628205128205177E-2</v>
      </c>
      <c r="Q8" s="313">
        <f t="shared" ref="Q8:Q15" si="8">K8+M8+O8</f>
        <v>4068</v>
      </c>
      <c r="R8" s="318">
        <f t="shared" ref="R8:R15" si="9">((Q8/(3*$B8)))-1</f>
        <v>8.6538461538461453E-2</v>
      </c>
    </row>
    <row r="9" spans="1:18" x14ac:dyDescent="0.25">
      <c r="A9" s="324" t="s">
        <v>171</v>
      </c>
      <c r="B9" s="335">
        <v>468</v>
      </c>
      <c r="C9" s="311">
        <v>544</v>
      </c>
      <c r="D9" s="314">
        <f t="shared" si="0"/>
        <v>0.16239316239316248</v>
      </c>
      <c r="E9" s="311">
        <v>525</v>
      </c>
      <c r="F9" s="314">
        <f t="shared" si="1"/>
        <v>0.12179487179487181</v>
      </c>
      <c r="G9" s="311">
        <v>692</v>
      </c>
      <c r="H9" s="314">
        <f t="shared" si="2"/>
        <v>0.47863247863247871</v>
      </c>
      <c r="I9" s="313">
        <f t="shared" si="3"/>
        <v>1761</v>
      </c>
      <c r="J9" s="318">
        <f t="shared" si="4"/>
        <v>0.25427350427350426</v>
      </c>
      <c r="K9" s="311">
        <v>460</v>
      </c>
      <c r="L9" s="314">
        <f t="shared" si="5"/>
        <v>-1.7094017094017144E-2</v>
      </c>
      <c r="M9" s="311">
        <v>610</v>
      </c>
      <c r="N9" s="314">
        <f t="shared" si="6"/>
        <v>0.30341880341880345</v>
      </c>
      <c r="O9" s="311">
        <v>540</v>
      </c>
      <c r="P9" s="314">
        <f t="shared" si="7"/>
        <v>0.15384615384615374</v>
      </c>
      <c r="Q9" s="313">
        <f t="shared" si="8"/>
        <v>1610</v>
      </c>
      <c r="R9" s="318">
        <f t="shared" si="9"/>
        <v>0.14672364672364679</v>
      </c>
    </row>
    <row r="10" spans="1:18" x14ac:dyDescent="0.25">
      <c r="A10" s="435" t="s">
        <v>172</v>
      </c>
      <c r="B10" s="342">
        <v>526</v>
      </c>
      <c r="C10" s="329">
        <v>215</v>
      </c>
      <c r="D10" s="314">
        <f t="shared" si="0"/>
        <v>-0.59125475285171103</v>
      </c>
      <c r="E10" s="329">
        <v>230</v>
      </c>
      <c r="F10" s="314">
        <f t="shared" si="1"/>
        <v>-0.56273764258555126</v>
      </c>
      <c r="G10" s="329">
        <v>618</v>
      </c>
      <c r="H10" s="330">
        <f t="shared" si="2"/>
        <v>0.17490494296577941</v>
      </c>
      <c r="I10" s="331">
        <f t="shared" si="3"/>
        <v>1063</v>
      </c>
      <c r="J10" s="332">
        <f t="shared" si="4"/>
        <v>-0.32636248415716096</v>
      </c>
      <c r="K10" s="329">
        <v>309</v>
      </c>
      <c r="L10" s="330">
        <f t="shared" si="5"/>
        <v>-0.4125475285171103</v>
      </c>
      <c r="M10" s="329">
        <v>547</v>
      </c>
      <c r="N10" s="330">
        <f t="shared" si="6"/>
        <v>3.9923954372623527E-2</v>
      </c>
      <c r="O10" s="329">
        <v>511</v>
      </c>
      <c r="P10" s="330">
        <f t="shared" si="7"/>
        <v>-2.8517110266159662E-2</v>
      </c>
      <c r="Q10" s="331">
        <f t="shared" si="8"/>
        <v>1367</v>
      </c>
      <c r="R10" s="332">
        <f t="shared" si="9"/>
        <v>-0.13371356147021551</v>
      </c>
    </row>
    <row r="11" spans="1:18" x14ac:dyDescent="0.25">
      <c r="A11" s="309" t="s">
        <v>163</v>
      </c>
      <c r="B11" s="342">
        <v>263</v>
      </c>
      <c r="C11" s="329">
        <v>16</v>
      </c>
      <c r="D11" s="314">
        <f t="shared" si="0"/>
        <v>-0.93916349809885935</v>
      </c>
      <c r="E11" s="329">
        <v>131</v>
      </c>
      <c r="F11" s="314">
        <f t="shared" si="1"/>
        <v>-0.50190114068441072</v>
      </c>
      <c r="G11" s="329">
        <v>262</v>
      </c>
      <c r="H11" s="330">
        <f t="shared" si="2"/>
        <v>-3.8022813688213253E-3</v>
      </c>
      <c r="I11" s="331">
        <f t="shared" si="3"/>
        <v>409</v>
      </c>
      <c r="J11" s="332">
        <f t="shared" si="4"/>
        <v>-0.48162230671736372</v>
      </c>
      <c r="K11" s="329">
        <v>203</v>
      </c>
      <c r="L11" s="330">
        <f t="shared" si="5"/>
        <v>-0.22813688212927752</v>
      </c>
      <c r="M11" s="329">
        <v>260</v>
      </c>
      <c r="N11" s="330">
        <f t="shared" si="6"/>
        <v>-1.1406844106463865E-2</v>
      </c>
      <c r="O11" s="329">
        <v>237</v>
      </c>
      <c r="P11" s="330">
        <f t="shared" si="7"/>
        <v>-9.8859315589353569E-2</v>
      </c>
      <c r="Q11" s="331">
        <f t="shared" si="8"/>
        <v>700</v>
      </c>
      <c r="R11" s="332">
        <f t="shared" si="9"/>
        <v>-0.11280101394169839</v>
      </c>
    </row>
    <row r="12" spans="1:18" x14ac:dyDescent="0.25">
      <c r="A12" s="310" t="s">
        <v>162</v>
      </c>
      <c r="B12" s="335">
        <v>263</v>
      </c>
      <c r="C12" s="311">
        <v>303</v>
      </c>
      <c r="D12" s="314">
        <f t="shared" si="0"/>
        <v>0.15209125475285168</v>
      </c>
      <c r="E12" s="311">
        <v>77</v>
      </c>
      <c r="F12" s="314">
        <f t="shared" si="1"/>
        <v>-0.70722433460076051</v>
      </c>
      <c r="G12" s="311">
        <v>55</v>
      </c>
      <c r="H12" s="314">
        <f t="shared" si="2"/>
        <v>-0.79087452471482889</v>
      </c>
      <c r="I12" s="331">
        <f t="shared" si="3"/>
        <v>435</v>
      </c>
      <c r="J12" s="332">
        <f t="shared" si="4"/>
        <v>-0.4486692015209125</v>
      </c>
      <c r="K12" s="311">
        <v>191</v>
      </c>
      <c r="L12" s="314">
        <f t="shared" si="5"/>
        <v>-0.27376425855513309</v>
      </c>
      <c r="M12" s="311">
        <v>215</v>
      </c>
      <c r="N12" s="314">
        <f t="shared" si="6"/>
        <v>-0.18250950570342206</v>
      </c>
      <c r="O12" s="311">
        <v>182</v>
      </c>
      <c r="P12" s="314">
        <f t="shared" si="7"/>
        <v>-0.30798479087452468</v>
      </c>
      <c r="Q12" s="331">
        <f t="shared" si="8"/>
        <v>588</v>
      </c>
      <c r="R12" s="332">
        <f t="shared" si="9"/>
        <v>-0.25475285171102657</v>
      </c>
    </row>
    <row r="13" spans="1:18" x14ac:dyDescent="0.25">
      <c r="A13" s="310" t="s">
        <v>204</v>
      </c>
      <c r="B13" s="335">
        <v>166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95</v>
      </c>
      <c r="H13" s="314">
        <f t="shared" si="2"/>
        <v>-0.42771084337349397</v>
      </c>
      <c r="I13" s="331">
        <f>C13+E13+G13</f>
        <v>95</v>
      </c>
      <c r="J13" s="332">
        <f t="shared" si="4"/>
        <v>-0.80923694779116462</v>
      </c>
      <c r="K13" s="311">
        <v>28</v>
      </c>
      <c r="L13" s="314">
        <f t="shared" si="5"/>
        <v>-0.83132530120481929</v>
      </c>
      <c r="M13" s="311">
        <v>100</v>
      </c>
      <c r="N13" s="314">
        <f t="shared" si="6"/>
        <v>-0.39759036144578308</v>
      </c>
      <c r="O13" s="311">
        <v>119</v>
      </c>
      <c r="P13" s="314">
        <f t="shared" si="7"/>
        <v>-0.2831325301204819</v>
      </c>
      <c r="Q13" s="331">
        <f t="shared" si="8"/>
        <v>247</v>
      </c>
      <c r="R13" s="332">
        <f t="shared" si="9"/>
        <v>-0.50401606425702816</v>
      </c>
    </row>
    <row r="14" spans="1:18" x14ac:dyDescent="0.25">
      <c r="A14" s="310" t="s">
        <v>272</v>
      </c>
      <c r="B14" s="335">
        <v>216</v>
      </c>
      <c r="C14" s="311">
        <v>182</v>
      </c>
      <c r="D14" s="314">
        <f t="shared" si="0"/>
        <v>-0.15740740740740744</v>
      </c>
      <c r="E14" s="311">
        <v>213</v>
      </c>
      <c r="F14" s="314">
        <f t="shared" si="1"/>
        <v>-1.388888888888884E-2</v>
      </c>
      <c r="G14" s="311">
        <v>254</v>
      </c>
      <c r="H14" s="314">
        <f t="shared" si="2"/>
        <v>0.17592592592592582</v>
      </c>
      <c r="I14" s="331">
        <f>C14+E14+G14</f>
        <v>649</v>
      </c>
      <c r="J14" s="332">
        <f t="shared" si="4"/>
        <v>1.5432098765431057E-3</v>
      </c>
      <c r="K14" s="311">
        <v>103</v>
      </c>
      <c r="L14" s="314">
        <f t="shared" si="5"/>
        <v>-0.52314814814814814</v>
      </c>
      <c r="M14" s="311">
        <v>315</v>
      </c>
      <c r="N14" s="314">
        <f t="shared" si="6"/>
        <v>0.45833333333333326</v>
      </c>
      <c r="O14" s="311">
        <v>255</v>
      </c>
      <c r="P14" s="314">
        <f t="shared" si="7"/>
        <v>0.18055555555555558</v>
      </c>
      <c r="Q14" s="331">
        <f t="shared" si="8"/>
        <v>673</v>
      </c>
      <c r="R14" s="332">
        <f t="shared" si="9"/>
        <v>3.8580246913580307E-2</v>
      </c>
    </row>
    <row r="15" spans="1:18" x14ac:dyDescent="0.25">
      <c r="A15" s="323" t="s">
        <v>273</v>
      </c>
      <c r="B15" s="342">
        <v>756</v>
      </c>
      <c r="C15" s="329">
        <v>361</v>
      </c>
      <c r="D15" s="330">
        <f t="shared" si="0"/>
        <v>-0.52248677248677255</v>
      </c>
      <c r="E15" s="329">
        <v>481</v>
      </c>
      <c r="F15" s="330">
        <f t="shared" si="1"/>
        <v>-0.36375661375661372</v>
      </c>
      <c r="G15" s="329">
        <v>570</v>
      </c>
      <c r="H15" s="330">
        <f t="shared" si="2"/>
        <v>-0.24603174603174605</v>
      </c>
      <c r="I15" s="331">
        <f>C15+E15+G15</f>
        <v>1412</v>
      </c>
      <c r="J15" s="332">
        <f t="shared" si="4"/>
        <v>-0.37742504409171074</v>
      </c>
      <c r="K15" s="329">
        <v>399</v>
      </c>
      <c r="L15" s="330">
        <f t="shared" si="5"/>
        <v>-0.47222222222222221</v>
      </c>
      <c r="M15" s="329">
        <v>839</v>
      </c>
      <c r="N15" s="330">
        <f t="shared" si="6"/>
        <v>0.10978835978835977</v>
      </c>
      <c r="O15" s="329">
        <v>609</v>
      </c>
      <c r="P15" s="330">
        <f t="shared" si="7"/>
        <v>-0.19444444444444442</v>
      </c>
      <c r="Q15" s="331">
        <f t="shared" si="8"/>
        <v>1847</v>
      </c>
      <c r="R15" s="332">
        <f t="shared" si="9"/>
        <v>-0.18562610229276899</v>
      </c>
    </row>
    <row r="16" spans="1:18" x14ac:dyDescent="0.25">
      <c r="A16" s="310" t="s">
        <v>274</v>
      </c>
      <c r="B16" s="335">
        <v>80</v>
      </c>
      <c r="C16" s="311">
        <v>75</v>
      </c>
      <c r="D16" s="314">
        <f t="shared" si="0"/>
        <v>-6.25E-2</v>
      </c>
      <c r="E16" s="311">
        <v>76</v>
      </c>
      <c r="F16" s="314">
        <f t="shared" si="1"/>
        <v>-5.0000000000000044E-2</v>
      </c>
      <c r="G16" s="311">
        <v>100</v>
      </c>
      <c r="H16" s="314">
        <f t="shared" si="2"/>
        <v>0.25</v>
      </c>
      <c r="I16" s="331">
        <f t="shared" ref="I16:I17" si="10">C16+E16+G16</f>
        <v>251</v>
      </c>
      <c r="J16" s="332">
        <f t="shared" ref="J16:J17" si="11">((I16/(3*$B16)))-1</f>
        <v>4.5833333333333393E-2</v>
      </c>
      <c r="K16" s="311">
        <v>45</v>
      </c>
      <c r="L16" s="314">
        <f t="shared" si="5"/>
        <v>-0.4375</v>
      </c>
      <c r="M16" s="311">
        <v>63</v>
      </c>
      <c r="N16" s="314">
        <f t="shared" si="6"/>
        <v>-0.21250000000000002</v>
      </c>
      <c r="O16" s="311">
        <v>21</v>
      </c>
      <c r="P16" s="314">
        <f t="shared" si="7"/>
        <v>-0.73750000000000004</v>
      </c>
      <c r="Q16" s="331">
        <f t="shared" ref="Q16:Q17" si="12">K16+M16+O16</f>
        <v>129</v>
      </c>
      <c r="R16" s="332">
        <f t="shared" ref="R16:R17" si="13">((Q16/(3*$B16)))-1</f>
        <v>-0.46250000000000002</v>
      </c>
    </row>
    <row r="17" spans="1:18" ht="15.75" thickBot="1" x14ac:dyDescent="0.3">
      <c r="A17" s="309" t="s">
        <v>275</v>
      </c>
      <c r="B17" s="431">
        <v>200</v>
      </c>
      <c r="C17" s="428">
        <v>118</v>
      </c>
      <c r="D17" s="432">
        <f t="shared" si="0"/>
        <v>-0.41000000000000003</v>
      </c>
      <c r="E17" s="428">
        <v>170</v>
      </c>
      <c r="F17" s="432">
        <f t="shared" si="1"/>
        <v>-0.15000000000000002</v>
      </c>
      <c r="G17" s="428">
        <v>174</v>
      </c>
      <c r="H17" s="432">
        <f t="shared" si="2"/>
        <v>-0.13</v>
      </c>
      <c r="I17" s="459">
        <f t="shared" si="10"/>
        <v>462</v>
      </c>
      <c r="J17" s="433">
        <f t="shared" si="11"/>
        <v>-0.22999999999999998</v>
      </c>
      <c r="K17" s="428">
        <v>77</v>
      </c>
      <c r="L17" s="432">
        <f t="shared" si="5"/>
        <v>-0.61499999999999999</v>
      </c>
      <c r="M17" s="428">
        <v>142</v>
      </c>
      <c r="N17" s="432">
        <f t="shared" si="6"/>
        <v>-0.29000000000000004</v>
      </c>
      <c r="O17" s="428">
        <v>39</v>
      </c>
      <c r="P17" s="432">
        <f>((O17/$B17))-1</f>
        <v>-0.80499999999999994</v>
      </c>
      <c r="Q17" s="331">
        <f t="shared" si="12"/>
        <v>258</v>
      </c>
      <c r="R17" s="332">
        <f t="shared" si="13"/>
        <v>-0.57000000000000006</v>
      </c>
    </row>
    <row r="18" spans="1:18" ht="15.75" thickBot="1" x14ac:dyDescent="0.3">
      <c r="A18" s="50" t="s">
        <v>2</v>
      </c>
      <c r="B18" s="370">
        <f>SUM(B7:B17)</f>
        <v>7786</v>
      </c>
      <c r="C18" s="54">
        <f>SUM(C7:C17)</f>
        <v>6038</v>
      </c>
      <c r="D18" s="59">
        <f>((C18/$B18))-1</f>
        <v>-0.22450552273311075</v>
      </c>
      <c r="E18" s="54">
        <f>SUM(E7:E17)</f>
        <v>6830</v>
      </c>
      <c r="F18" s="59">
        <f>((E18/$B18))-1</f>
        <v>-0.12278448497302852</v>
      </c>
      <c r="G18" s="54">
        <f>SUM(G7:G17)</f>
        <v>7542</v>
      </c>
      <c r="H18" s="371">
        <f>((G18/$B18))-1</f>
        <v>-3.1338299511944556E-2</v>
      </c>
      <c r="I18" s="460">
        <f>C18+E18+G18</f>
        <v>20410</v>
      </c>
      <c r="J18" s="461">
        <f>((I18/(3*$B18)))-1</f>
        <v>-0.12620943573936128</v>
      </c>
      <c r="K18" s="54">
        <f>SUM(K7:K17)</f>
        <v>6242</v>
      </c>
      <c r="L18" s="59">
        <f>((K18/$B18))-1</f>
        <v>-0.19830464937066528</v>
      </c>
      <c r="M18" s="54">
        <f>SUM(M7:M17)</f>
        <v>8133</v>
      </c>
      <c r="N18" s="59">
        <f>((M18/$B18))-1</f>
        <v>4.456717184690473E-2</v>
      </c>
      <c r="O18" s="54">
        <f>SUM(O7:O17)</f>
        <v>6910</v>
      </c>
      <c r="P18" s="371">
        <f>((O18/$B18))-1</f>
        <v>-0.11250963267403036</v>
      </c>
      <c r="Q18" s="372">
        <f>K18+M18+O18</f>
        <v>21285</v>
      </c>
      <c r="R18" s="381">
        <f>((Q18/(3*$B18)))-1</f>
        <v>-8.8749036732596931E-2</v>
      </c>
    </row>
    <row r="19" spans="1:18" x14ac:dyDescent="0.25">
      <c r="B19" s="31"/>
    </row>
    <row r="21" spans="1:18" ht="15.75" hidden="1" x14ac:dyDescent="0.25">
      <c r="A21" s="808" t="s">
        <v>352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</row>
    <row r="22" spans="1:18" ht="24.75" hidden="1" thickBot="1" x14ac:dyDescent="0.3">
      <c r="A22" s="62" t="s">
        <v>8</v>
      </c>
      <c r="B22" s="63" t="s">
        <v>9</v>
      </c>
      <c r="C22" s="122" t="str">
        <f>'UBS Vila Dalva 1° SEM'!C6</f>
        <v>JAN</v>
      </c>
      <c r="D22" s="123" t="str">
        <f>'UBS Vila Dalva 1° SEM'!D6</f>
        <v>%</v>
      </c>
      <c r="E22" s="122" t="str">
        <f>'UBS Vila Dalva 1° SEM'!E6</f>
        <v>FEV</v>
      </c>
      <c r="F22" s="123" t="str">
        <f>'UBS Vila Dalva 1° SEM'!F6</f>
        <v>%</v>
      </c>
      <c r="G22" s="122" t="str">
        <f>'UBS Vila Dalva 1° SEM'!G6</f>
        <v>MAR</v>
      </c>
      <c r="H22" s="123" t="str">
        <f>'UBS Vila Dalva 1° SEM'!H6</f>
        <v>%</v>
      </c>
      <c r="I22" s="124" t="str">
        <f>'UBS Vila Dalva 1° SEM'!I6</f>
        <v>Trimestre</v>
      </c>
      <c r="J22" s="124" t="str">
        <f>'UBS Vila Dalva 1° SEM'!J6</f>
        <v>%</v>
      </c>
      <c r="K22" s="122" t="str">
        <f>'UBS Vila Dalva 1° SEM'!K6</f>
        <v>ABR</v>
      </c>
      <c r="L22" s="123" t="str">
        <f>'UBS Vila Dalva 1° SEM'!L6</f>
        <v>%</v>
      </c>
      <c r="M22" s="122" t="str">
        <f>'UBS Vila Dalva 1° SEM'!M6</f>
        <v>MAI</v>
      </c>
      <c r="N22" s="123" t="str">
        <f>'UBS Vila Dalva 1° SEM'!N6</f>
        <v>%</v>
      </c>
      <c r="O22" s="122" t="str">
        <f>'UBS Vila Dalva 1° SEM'!O6</f>
        <v>JUN</v>
      </c>
      <c r="P22" s="123" t="str">
        <f>'UBS Vila Dalva 1° SEM'!P6</f>
        <v>%</v>
      </c>
      <c r="Q22" s="124" t="str">
        <f>'UBS Vila Dalva 1° SEM'!Q6</f>
        <v>Trimestre</v>
      </c>
      <c r="R22" s="124" t="str">
        <f>'UBS Vila Dalva 1° SEM'!R6</f>
        <v>%</v>
      </c>
    </row>
    <row r="23" spans="1:18" ht="15.75" hidden="1" thickTop="1" x14ac:dyDescent="0.25">
      <c r="A23" s="324" t="s">
        <v>265</v>
      </c>
      <c r="B23" s="6">
        <v>18</v>
      </c>
      <c r="C23" s="204">
        <v>18</v>
      </c>
      <c r="D23" s="11">
        <f>((C23/$B23))-1</f>
        <v>0</v>
      </c>
      <c r="E23" s="204">
        <v>18</v>
      </c>
      <c r="F23" s="11">
        <f>((E23/$B23))-1</f>
        <v>0</v>
      </c>
      <c r="G23" s="204">
        <v>18</v>
      </c>
      <c r="H23" s="11">
        <f>((G23/$B23))-1</f>
        <v>0</v>
      </c>
      <c r="I23" s="9">
        <f t="shared" ref="I23:I35" si="14">C23+E23+G23</f>
        <v>54</v>
      </c>
      <c r="J23" s="12">
        <f>((I23/(3*$B23)))-1</f>
        <v>0</v>
      </c>
      <c r="K23" s="204">
        <v>18</v>
      </c>
      <c r="L23" s="11">
        <f>((K23/$B23))-1</f>
        <v>0</v>
      </c>
      <c r="M23" s="204">
        <v>18</v>
      </c>
      <c r="N23" s="11">
        <f>((M23/$B23))-1</f>
        <v>0</v>
      </c>
      <c r="O23" s="204">
        <v>18</v>
      </c>
      <c r="P23" s="11">
        <f>((O23/$B23))-1</f>
        <v>0</v>
      </c>
      <c r="Q23" s="9">
        <f t="shared" ref="Q23:Q35" si="15">K23+M23+O23</f>
        <v>54</v>
      </c>
      <c r="R23" s="12">
        <f>((Q23/(3*$B23)))-1</f>
        <v>0</v>
      </c>
    </row>
    <row r="24" spans="1:18" hidden="1" x14ac:dyDescent="0.25">
      <c r="A24" s="324" t="s">
        <v>266</v>
      </c>
      <c r="B24" s="6">
        <v>3</v>
      </c>
      <c r="C24" s="204">
        <v>3</v>
      </c>
      <c r="D24" s="11">
        <f>((C24/$B24))-1</f>
        <v>0</v>
      </c>
      <c r="E24" s="204">
        <v>3</v>
      </c>
      <c r="F24" s="11">
        <f>((E24/$B24))-1</f>
        <v>0</v>
      </c>
      <c r="G24" s="204">
        <v>3</v>
      </c>
      <c r="H24" s="11">
        <f>((G24/$B24))-1</f>
        <v>0</v>
      </c>
      <c r="I24" s="9">
        <f t="shared" si="14"/>
        <v>9</v>
      </c>
      <c r="J24" s="12">
        <f>((I24/(3*$B24)))-1</f>
        <v>0</v>
      </c>
      <c r="K24" s="204">
        <v>3</v>
      </c>
      <c r="L24" s="11">
        <f>((K24/$B24))-1</f>
        <v>0</v>
      </c>
      <c r="M24" s="204">
        <v>3</v>
      </c>
      <c r="N24" s="11">
        <f>((M24/$B24))-1</f>
        <v>0</v>
      </c>
      <c r="O24" s="204">
        <v>3</v>
      </c>
      <c r="P24" s="11">
        <f>((O24/$B24))-1</f>
        <v>0</v>
      </c>
      <c r="Q24" s="9">
        <f t="shared" si="15"/>
        <v>9</v>
      </c>
      <c r="R24" s="12">
        <f>((Q24/(3*$B24)))-1</f>
        <v>0</v>
      </c>
    </row>
    <row r="25" spans="1:18" hidden="1" x14ac:dyDescent="0.25">
      <c r="A25" s="324" t="s">
        <v>267</v>
      </c>
      <c r="B25" s="65">
        <v>3</v>
      </c>
      <c r="C25" s="104">
        <v>3</v>
      </c>
      <c r="D25" s="11">
        <f t="shared" ref="D25:D35" si="16">((C25/$B25))-1</f>
        <v>0</v>
      </c>
      <c r="E25" s="295">
        <v>3</v>
      </c>
      <c r="F25" s="11">
        <f t="shared" ref="F25:F35" si="17">((E25/$B25))-1</f>
        <v>0</v>
      </c>
      <c r="G25" s="295">
        <v>3</v>
      </c>
      <c r="H25" s="11">
        <f t="shared" ref="H25:H35" si="18">((G25/$B25))-1</f>
        <v>0</v>
      </c>
      <c r="I25" s="9">
        <f t="shared" si="14"/>
        <v>9</v>
      </c>
      <c r="J25" s="12">
        <f t="shared" ref="J25:J35" si="19">((I25/(3*$B25)))-1</f>
        <v>0</v>
      </c>
      <c r="K25" s="295">
        <v>3</v>
      </c>
      <c r="L25" s="11">
        <f t="shared" ref="L25:L35" si="20">((K25/$B25))-1</f>
        <v>0</v>
      </c>
      <c r="M25" s="295">
        <v>3</v>
      </c>
      <c r="N25" s="11">
        <f t="shared" ref="N25:N35" si="21">((M25/$B25))-1</f>
        <v>0</v>
      </c>
      <c r="O25" s="295">
        <v>3</v>
      </c>
      <c r="P25" s="11">
        <f t="shared" ref="P25:P35" si="22">((O25/$B25))-1</f>
        <v>0</v>
      </c>
      <c r="Q25" s="9">
        <f t="shared" si="15"/>
        <v>9</v>
      </c>
      <c r="R25" s="12">
        <f t="shared" ref="R25:R35" si="23">((Q25/(3*$B25)))-1</f>
        <v>0</v>
      </c>
    </row>
    <row r="26" spans="1:18" hidden="1" x14ac:dyDescent="0.25">
      <c r="A26" s="434" t="s">
        <v>268</v>
      </c>
      <c r="B26" s="316">
        <v>2</v>
      </c>
      <c r="C26" s="307">
        <v>2</v>
      </c>
      <c r="D26" s="425">
        <f t="shared" si="16"/>
        <v>0</v>
      </c>
      <c r="E26" s="307">
        <v>1</v>
      </c>
      <c r="F26" s="425">
        <f t="shared" si="17"/>
        <v>-0.5</v>
      </c>
      <c r="G26" s="307">
        <v>2</v>
      </c>
      <c r="H26" s="425">
        <f t="shared" si="18"/>
        <v>0</v>
      </c>
      <c r="I26" s="426">
        <f t="shared" si="14"/>
        <v>5</v>
      </c>
      <c r="J26" s="427">
        <f t="shared" si="19"/>
        <v>-0.16666666666666663</v>
      </c>
      <c r="K26" s="307">
        <v>2</v>
      </c>
      <c r="L26" s="425">
        <f t="shared" si="20"/>
        <v>0</v>
      </c>
      <c r="M26" s="307">
        <v>2</v>
      </c>
      <c r="N26" s="425">
        <f t="shared" si="21"/>
        <v>0</v>
      </c>
      <c r="O26" s="307">
        <v>2</v>
      </c>
      <c r="P26" s="425">
        <f t="shared" si="22"/>
        <v>0</v>
      </c>
      <c r="Q26" s="426">
        <f t="shared" si="15"/>
        <v>6</v>
      </c>
      <c r="R26" s="427">
        <f t="shared" si="23"/>
        <v>0</v>
      </c>
    </row>
    <row r="27" spans="1:18" hidden="1" x14ac:dyDescent="0.25">
      <c r="A27" s="309" t="s">
        <v>269</v>
      </c>
      <c r="B27" s="315">
        <v>1</v>
      </c>
      <c r="C27" s="311">
        <v>1</v>
      </c>
      <c r="D27" s="314">
        <f t="shared" si="16"/>
        <v>0</v>
      </c>
      <c r="E27" s="311">
        <v>1</v>
      </c>
      <c r="F27" s="314">
        <f t="shared" si="17"/>
        <v>0</v>
      </c>
      <c r="G27" s="311">
        <v>1</v>
      </c>
      <c r="H27" s="314">
        <f t="shared" si="18"/>
        <v>0</v>
      </c>
      <c r="I27" s="313">
        <f t="shared" si="14"/>
        <v>3</v>
      </c>
      <c r="J27" s="318">
        <f t="shared" si="19"/>
        <v>0</v>
      </c>
      <c r="K27" s="311">
        <v>1</v>
      </c>
      <c r="L27" s="314">
        <f t="shared" si="20"/>
        <v>0</v>
      </c>
      <c r="M27" s="311">
        <v>1</v>
      </c>
      <c r="N27" s="314">
        <f t="shared" si="21"/>
        <v>0</v>
      </c>
      <c r="O27" s="311">
        <v>1</v>
      </c>
      <c r="P27" s="314">
        <f t="shared" si="22"/>
        <v>0</v>
      </c>
      <c r="Q27" s="313">
        <f t="shared" si="15"/>
        <v>3</v>
      </c>
      <c r="R27" s="318">
        <f t="shared" si="23"/>
        <v>0</v>
      </c>
    </row>
    <row r="28" spans="1:18" hidden="1" x14ac:dyDescent="0.25">
      <c r="A28" s="310" t="s">
        <v>270</v>
      </c>
      <c r="B28" s="315">
        <v>1</v>
      </c>
      <c r="C28" s="311">
        <v>1</v>
      </c>
      <c r="D28" s="314">
        <f t="shared" si="16"/>
        <v>0</v>
      </c>
      <c r="E28" s="311">
        <v>0</v>
      </c>
      <c r="F28" s="314">
        <f t="shared" si="17"/>
        <v>-1</v>
      </c>
      <c r="G28" s="311">
        <v>1</v>
      </c>
      <c r="H28" s="314">
        <f t="shared" si="18"/>
        <v>0</v>
      </c>
      <c r="I28" s="313">
        <f t="shared" si="14"/>
        <v>2</v>
      </c>
      <c r="J28" s="318">
        <f t="shared" si="19"/>
        <v>-0.33333333333333337</v>
      </c>
      <c r="K28" s="311">
        <v>1</v>
      </c>
      <c r="L28" s="314">
        <f t="shared" si="20"/>
        <v>0</v>
      </c>
      <c r="M28" s="311">
        <v>1</v>
      </c>
      <c r="N28" s="314">
        <f t="shared" si="21"/>
        <v>0</v>
      </c>
      <c r="O28" s="311">
        <v>1</v>
      </c>
      <c r="P28" s="314">
        <f t="shared" si="22"/>
        <v>0</v>
      </c>
      <c r="Q28" s="313">
        <f t="shared" si="15"/>
        <v>3</v>
      </c>
      <c r="R28" s="318">
        <f t="shared" si="23"/>
        <v>0</v>
      </c>
    </row>
    <row r="29" spans="1:18" hidden="1" x14ac:dyDescent="0.25">
      <c r="A29" s="310" t="s">
        <v>271</v>
      </c>
      <c r="B29" s="315">
        <v>1</v>
      </c>
      <c r="C29" s="311">
        <v>1</v>
      </c>
      <c r="D29" s="314">
        <f t="shared" si="16"/>
        <v>0</v>
      </c>
      <c r="E29" s="311">
        <v>1</v>
      </c>
      <c r="F29" s="314">
        <f t="shared" si="17"/>
        <v>0</v>
      </c>
      <c r="G29" s="311">
        <v>1</v>
      </c>
      <c r="H29" s="314">
        <f t="shared" si="18"/>
        <v>0</v>
      </c>
      <c r="I29" s="313">
        <f t="shared" si="14"/>
        <v>3</v>
      </c>
      <c r="J29" s="318">
        <f t="shared" si="19"/>
        <v>0</v>
      </c>
      <c r="K29" s="311">
        <v>1</v>
      </c>
      <c r="L29" s="314">
        <f t="shared" si="20"/>
        <v>0</v>
      </c>
      <c r="M29" s="311">
        <v>1</v>
      </c>
      <c r="N29" s="314">
        <f t="shared" si="21"/>
        <v>0</v>
      </c>
      <c r="O29" s="311">
        <v>1</v>
      </c>
      <c r="P29" s="314">
        <f t="shared" si="22"/>
        <v>0</v>
      </c>
      <c r="Q29" s="313">
        <f t="shared" si="15"/>
        <v>3</v>
      </c>
      <c r="R29" s="318">
        <f t="shared" si="23"/>
        <v>0</v>
      </c>
    </row>
    <row r="30" spans="1:18" hidden="1" x14ac:dyDescent="0.25">
      <c r="A30" s="310" t="s">
        <v>276</v>
      </c>
      <c r="B30" s="315">
        <v>1</v>
      </c>
      <c r="C30" s="311">
        <v>0</v>
      </c>
      <c r="D30" s="314">
        <f t="shared" si="16"/>
        <v>-1</v>
      </c>
      <c r="E30" s="311">
        <v>1</v>
      </c>
      <c r="F30" s="314">
        <f t="shared" si="17"/>
        <v>0</v>
      </c>
      <c r="G30" s="311">
        <v>1</v>
      </c>
      <c r="H30" s="314">
        <f t="shared" si="18"/>
        <v>0</v>
      </c>
      <c r="I30" s="313">
        <f t="shared" si="14"/>
        <v>2</v>
      </c>
      <c r="J30" s="318">
        <f t="shared" si="19"/>
        <v>-0.33333333333333337</v>
      </c>
      <c r="K30" s="311">
        <v>1</v>
      </c>
      <c r="L30" s="314">
        <f t="shared" si="20"/>
        <v>0</v>
      </c>
      <c r="M30" s="311">
        <v>1</v>
      </c>
      <c r="N30" s="314">
        <f t="shared" si="21"/>
        <v>0</v>
      </c>
      <c r="O30" s="311">
        <v>1</v>
      </c>
      <c r="P30" s="314">
        <f t="shared" si="22"/>
        <v>0</v>
      </c>
      <c r="Q30" s="313">
        <f t="shared" si="15"/>
        <v>3</v>
      </c>
      <c r="R30" s="318">
        <f t="shared" si="23"/>
        <v>0</v>
      </c>
    </row>
    <row r="31" spans="1:18" hidden="1" x14ac:dyDescent="0.25">
      <c r="A31" s="310" t="s">
        <v>277</v>
      </c>
      <c r="B31" s="315">
        <v>1</v>
      </c>
      <c r="C31" s="311">
        <v>0</v>
      </c>
      <c r="D31" s="314">
        <f t="shared" si="16"/>
        <v>-1</v>
      </c>
      <c r="E31" s="311">
        <v>1</v>
      </c>
      <c r="F31" s="314">
        <f t="shared" si="17"/>
        <v>0</v>
      </c>
      <c r="G31" s="311">
        <v>1</v>
      </c>
      <c r="H31" s="314">
        <f t="shared" si="18"/>
        <v>0</v>
      </c>
      <c r="I31" s="313">
        <f t="shared" si="14"/>
        <v>2</v>
      </c>
      <c r="J31" s="318">
        <f t="shared" si="19"/>
        <v>-0.33333333333333337</v>
      </c>
      <c r="K31" s="311">
        <v>1</v>
      </c>
      <c r="L31" s="314">
        <f t="shared" si="20"/>
        <v>0</v>
      </c>
      <c r="M31" s="311">
        <v>1</v>
      </c>
      <c r="N31" s="314">
        <f t="shared" si="21"/>
        <v>0</v>
      </c>
      <c r="O31" s="311">
        <v>1</v>
      </c>
      <c r="P31" s="314">
        <f t="shared" si="22"/>
        <v>0</v>
      </c>
      <c r="Q31" s="313">
        <f t="shared" si="15"/>
        <v>3</v>
      </c>
      <c r="R31" s="318">
        <f t="shared" si="23"/>
        <v>0</v>
      </c>
    </row>
    <row r="32" spans="1:18" hidden="1" x14ac:dyDescent="0.25">
      <c r="A32" s="310" t="s">
        <v>278</v>
      </c>
      <c r="B32" s="315">
        <v>2</v>
      </c>
      <c r="C32" s="311">
        <v>2</v>
      </c>
      <c r="D32" s="314">
        <f t="shared" si="16"/>
        <v>0</v>
      </c>
      <c r="E32" s="311">
        <v>2</v>
      </c>
      <c r="F32" s="314">
        <f t="shared" si="17"/>
        <v>0</v>
      </c>
      <c r="G32" s="311">
        <v>2</v>
      </c>
      <c r="H32" s="314">
        <f t="shared" si="18"/>
        <v>0</v>
      </c>
      <c r="I32" s="313">
        <f t="shared" si="14"/>
        <v>6</v>
      </c>
      <c r="J32" s="318">
        <f t="shared" si="19"/>
        <v>0</v>
      </c>
      <c r="K32" s="311">
        <v>2</v>
      </c>
      <c r="L32" s="314">
        <f t="shared" si="20"/>
        <v>0</v>
      </c>
      <c r="M32" s="311">
        <v>2</v>
      </c>
      <c r="N32" s="314">
        <f t="shared" si="21"/>
        <v>0</v>
      </c>
      <c r="O32" s="311">
        <v>2</v>
      </c>
      <c r="P32" s="314">
        <f t="shared" si="22"/>
        <v>0</v>
      </c>
      <c r="Q32" s="313">
        <f t="shared" si="15"/>
        <v>6</v>
      </c>
      <c r="R32" s="318">
        <f t="shared" si="23"/>
        <v>0</v>
      </c>
    </row>
    <row r="33" spans="1:18" hidden="1" x14ac:dyDescent="0.25">
      <c r="A33" s="310" t="s">
        <v>279</v>
      </c>
      <c r="B33" s="315">
        <v>4</v>
      </c>
      <c r="C33" s="311">
        <v>3</v>
      </c>
      <c r="D33" s="314">
        <f t="shared" si="16"/>
        <v>-0.25</v>
      </c>
      <c r="E33" s="311">
        <v>4</v>
      </c>
      <c r="F33" s="314">
        <f t="shared" si="17"/>
        <v>0</v>
      </c>
      <c r="G33" s="311">
        <v>4</v>
      </c>
      <c r="H33" s="314">
        <f t="shared" si="18"/>
        <v>0</v>
      </c>
      <c r="I33" s="313">
        <f t="shared" si="14"/>
        <v>11</v>
      </c>
      <c r="J33" s="318">
        <f t="shared" si="19"/>
        <v>-8.333333333333337E-2</v>
      </c>
      <c r="K33" s="311">
        <v>4</v>
      </c>
      <c r="L33" s="314">
        <f t="shared" si="20"/>
        <v>0</v>
      </c>
      <c r="M33" s="311">
        <v>4</v>
      </c>
      <c r="N33" s="314">
        <f t="shared" si="21"/>
        <v>0</v>
      </c>
      <c r="O33" s="311">
        <v>4</v>
      </c>
      <c r="P33" s="314">
        <f t="shared" si="22"/>
        <v>0</v>
      </c>
      <c r="Q33" s="313">
        <f t="shared" si="15"/>
        <v>12</v>
      </c>
      <c r="R33" s="318">
        <f t="shared" si="23"/>
        <v>0</v>
      </c>
    </row>
    <row r="34" spans="1:18" hidden="1" x14ac:dyDescent="0.25">
      <c r="A34" s="310" t="s">
        <v>280</v>
      </c>
      <c r="B34" s="335">
        <v>1</v>
      </c>
      <c r="C34" s="311">
        <v>1</v>
      </c>
      <c r="D34" s="314">
        <f t="shared" si="16"/>
        <v>0</v>
      </c>
      <c r="E34" s="311">
        <v>1</v>
      </c>
      <c r="F34" s="314">
        <f t="shared" si="17"/>
        <v>0</v>
      </c>
      <c r="G34" s="311">
        <v>1</v>
      </c>
      <c r="H34" s="314">
        <f t="shared" si="18"/>
        <v>0</v>
      </c>
      <c r="I34" s="313">
        <f t="shared" si="14"/>
        <v>3</v>
      </c>
      <c r="J34" s="318">
        <f t="shared" si="19"/>
        <v>0</v>
      </c>
      <c r="K34" s="311">
        <v>1</v>
      </c>
      <c r="L34" s="314">
        <f t="shared" si="20"/>
        <v>0</v>
      </c>
      <c r="M34" s="311">
        <v>1</v>
      </c>
      <c r="N34" s="314">
        <f t="shared" si="21"/>
        <v>0</v>
      </c>
      <c r="O34" s="311">
        <v>1</v>
      </c>
      <c r="P34" s="314">
        <f t="shared" si="22"/>
        <v>0</v>
      </c>
      <c r="Q34" s="313">
        <f t="shared" si="15"/>
        <v>3</v>
      </c>
      <c r="R34" s="318">
        <f t="shared" si="23"/>
        <v>0</v>
      </c>
    </row>
    <row r="35" spans="1:18" ht="15.75" hidden="1" thickBot="1" x14ac:dyDescent="0.3">
      <c r="A35" s="309" t="s">
        <v>153</v>
      </c>
      <c r="B35" s="337">
        <v>1</v>
      </c>
      <c r="C35" s="709">
        <v>1</v>
      </c>
      <c r="D35" s="314">
        <f t="shared" si="16"/>
        <v>0</v>
      </c>
      <c r="E35" s="709">
        <v>1</v>
      </c>
      <c r="F35" s="314">
        <f t="shared" si="17"/>
        <v>0</v>
      </c>
      <c r="G35" s="709">
        <v>1</v>
      </c>
      <c r="H35" s="314">
        <f t="shared" si="18"/>
        <v>0</v>
      </c>
      <c r="I35" s="313">
        <f t="shared" si="14"/>
        <v>3</v>
      </c>
      <c r="J35" s="318">
        <f t="shared" si="19"/>
        <v>0</v>
      </c>
      <c r="K35" s="709">
        <v>1</v>
      </c>
      <c r="L35" s="314">
        <f t="shared" si="20"/>
        <v>0</v>
      </c>
      <c r="M35" s="709">
        <v>1</v>
      </c>
      <c r="N35" s="314">
        <f t="shared" si="21"/>
        <v>0</v>
      </c>
      <c r="O35" s="709">
        <v>1</v>
      </c>
      <c r="P35" s="314">
        <f t="shared" si="22"/>
        <v>0</v>
      </c>
      <c r="Q35" s="313">
        <f t="shared" si="15"/>
        <v>3</v>
      </c>
      <c r="R35" s="318">
        <f t="shared" si="23"/>
        <v>0</v>
      </c>
    </row>
    <row r="36" spans="1:18" ht="15.75" hidden="1" thickBot="1" x14ac:dyDescent="0.3">
      <c r="A36" s="50" t="s">
        <v>2</v>
      </c>
      <c r="B36" s="370">
        <f>SUM(B23:B35)</f>
        <v>39</v>
      </c>
      <c r="C36" s="54">
        <f>SUM(C26:C35)</f>
        <v>12</v>
      </c>
      <c r="D36" s="382">
        <f>((C36/$B36))-1</f>
        <v>-0.69230769230769229</v>
      </c>
      <c r="E36" s="54">
        <f>SUM(E26:E35)</f>
        <v>13</v>
      </c>
      <c r="F36" s="382">
        <f>((E36/$B36))-1</f>
        <v>-0.66666666666666674</v>
      </c>
      <c r="G36" s="54">
        <f>SUM(G26:G35)</f>
        <v>15</v>
      </c>
      <c r="H36" s="383">
        <f>((G36/$B36))-1</f>
        <v>-0.61538461538461542</v>
      </c>
      <c r="I36" s="372">
        <f>C36+E36+G36</f>
        <v>40</v>
      </c>
      <c r="J36" s="373">
        <f>((I36/(3*$B36)))-1</f>
        <v>-0.65811965811965811</v>
      </c>
      <c r="K36" s="54">
        <f>SUM(K26:K35)</f>
        <v>15</v>
      </c>
      <c r="L36" s="382">
        <f>((K36/$B36))-1</f>
        <v>-0.61538461538461542</v>
      </c>
      <c r="M36" s="54">
        <f>SUM(M26:M35)</f>
        <v>15</v>
      </c>
      <c r="N36" s="382">
        <f>((M36/$B36))-1</f>
        <v>-0.61538461538461542</v>
      </c>
      <c r="O36" s="54">
        <f>SUM(O26:O35)</f>
        <v>15</v>
      </c>
      <c r="P36" s="383">
        <f>((O36/$B36))-1</f>
        <v>-0.61538461538461542</v>
      </c>
      <c r="Q36" s="372">
        <f>K36+M36+O36</f>
        <v>45</v>
      </c>
      <c r="R36" s="381">
        <f>((Q36/(3*$B36)))-1</f>
        <v>-0.61538461538461542</v>
      </c>
    </row>
  </sheetData>
  <mergeCells count="4">
    <mergeCell ref="A2:R2"/>
    <mergeCell ref="A3:R3"/>
    <mergeCell ref="A5:R5"/>
    <mergeCell ref="A21:R21"/>
  </mergeCells>
  <pageMargins left="0.23622047244094491" right="0.23622047244094491" top="0.47244094488188981" bottom="0.74803149606299213" header="0.31496062992125984" footer="0.31496062992125984"/>
  <pageSetup paperSize="9" scale="78" orientation="landscape" r:id="rId1"/>
  <headerFooter>
    <oddFooter>&amp;L&amp;10Fonte: Sistema WEBSAASS / SMS&amp;R&amp;10pag.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98CF-A522-4F9D-8517-B23D11588AFB}">
  <sheetPr>
    <tabColor rgb="FF7030A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43.28515625" customWidth="1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800" t="str">
        <f>'UBS E NASF Malta Cardoso 2º SEM'!A2</f>
        <v>REDE ASSISTENCIAL DA STS  BUTANTÃ  - ANO 2017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tr">
        <f>'UBS E NASF Malta Cardoso 2º SEM'!A3</f>
        <v>OSS/SPDM – Associação Paulista para o Desenvolvimento da Medicina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351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341" t="s">
        <v>9</v>
      </c>
      <c r="C6" s="325" t="str">
        <f>'UBS Vila Dalva 2º SEM'!C6</f>
        <v>JUL</v>
      </c>
      <c r="D6" s="326" t="str">
        <f>'UBS Vila Dalva 2º SEM'!D6</f>
        <v>%</v>
      </c>
      <c r="E6" s="325" t="str">
        <f>'UBS Vila Dalva 2º SEM'!E6</f>
        <v>AGO</v>
      </c>
      <c r="F6" s="326" t="str">
        <f>'UBS Vila Dalva 2º SEM'!F6</f>
        <v>%</v>
      </c>
      <c r="G6" s="325" t="str">
        <f>'UBS Vila Dalva 2º SEM'!G6</f>
        <v>SET</v>
      </c>
      <c r="H6" s="326" t="str">
        <f>'UBS Vila Dalva 2º SEM'!H6</f>
        <v>%</v>
      </c>
      <c r="I6" s="327" t="str">
        <f>'UBS Vila Dalva 2º SEM'!I6</f>
        <v>Trimestre</v>
      </c>
      <c r="J6" s="327" t="str">
        <f>'UBS Vila Dalva 2º SEM'!J6</f>
        <v>%</v>
      </c>
      <c r="K6" s="325" t="str">
        <f>'UBS Vila Dalva 2º SEM'!K6</f>
        <v>OUT</v>
      </c>
      <c r="L6" s="326" t="str">
        <f>'UBS Vila Dalva 2º SEM'!L6</f>
        <v>%</v>
      </c>
      <c r="M6" s="325" t="str">
        <f>'UBS Vila Dalva 2º SEM'!M6</f>
        <v>NOV</v>
      </c>
      <c r="N6" s="326" t="str">
        <f>'UBS Vila Dalva 2º SEM'!N6</f>
        <v>%</v>
      </c>
      <c r="O6" s="325" t="str">
        <f>'UBS Vila Dalva 2º SEM'!O6</f>
        <v>DEZ</v>
      </c>
      <c r="P6" s="326" t="str">
        <f>'UBS Vila Dalva 2º SEM'!P6</f>
        <v>%</v>
      </c>
      <c r="Q6" s="327" t="str">
        <f>'UBS Vila Dalva 2º SEM'!Q6</f>
        <v>Trimestre</v>
      </c>
      <c r="R6" s="327" t="str">
        <f>'UBS Vila Dalva 2º SEM'!R6</f>
        <v>%</v>
      </c>
    </row>
    <row r="7" spans="1:18" ht="15.75" thickTop="1" x14ac:dyDescent="0.25">
      <c r="A7" s="324" t="s">
        <v>158</v>
      </c>
      <c r="B7" s="335">
        <v>3600</v>
      </c>
      <c r="C7" s="311">
        <v>3323</v>
      </c>
      <c r="D7" s="314">
        <f t="shared" ref="D7:D18" si="0">((C7/$B7))-1</f>
        <v>-7.6944444444444482E-2</v>
      </c>
      <c r="E7" s="311">
        <v>3458</v>
      </c>
      <c r="F7" s="314">
        <f t="shared" ref="F7:F18" si="1">((E7/$B7))-1</f>
        <v>-3.9444444444444393E-2</v>
      </c>
      <c r="G7" s="311">
        <v>3259</v>
      </c>
      <c r="H7" s="314">
        <f t="shared" ref="H7:H18" si="2">((G7/$B7))-1</f>
        <v>-9.4722222222222263E-2</v>
      </c>
      <c r="I7" s="313">
        <f t="shared" ref="I7:I18" si="3">C7+E7+G7</f>
        <v>10040</v>
      </c>
      <c r="J7" s="318">
        <f t="shared" ref="J7:J18" si="4">((I7/(3*$B7)))-1</f>
        <v>-7.0370370370370416E-2</v>
      </c>
      <c r="K7" s="311">
        <v>3000</v>
      </c>
      <c r="L7" s="314">
        <f t="shared" ref="L7:L18" si="5">((K7/$B7))-1</f>
        <v>-0.16666666666666663</v>
      </c>
      <c r="M7" s="311">
        <v>3257</v>
      </c>
      <c r="N7" s="314">
        <f t="shared" ref="N7:N18" si="6">((M7/$B7))-1</f>
        <v>-9.5277777777777795E-2</v>
      </c>
      <c r="O7" s="311">
        <v>2913</v>
      </c>
      <c r="P7" s="314">
        <f t="shared" ref="P7:P18" si="7">((O7/$B7))-1</f>
        <v>-0.1908333333333333</v>
      </c>
      <c r="Q7" s="313">
        <f t="shared" ref="Q7:Q18" si="8">K7+M7+O7</f>
        <v>9170</v>
      </c>
      <c r="R7" s="318">
        <f t="shared" ref="R7:R18" si="9">((Q7/(3*$B7)))-1</f>
        <v>-0.15092592592592591</v>
      </c>
    </row>
    <row r="8" spans="1:18" x14ac:dyDescent="0.25">
      <c r="A8" s="324" t="s">
        <v>159</v>
      </c>
      <c r="B8" s="335">
        <v>1248</v>
      </c>
      <c r="C8" s="311">
        <v>1284</v>
      </c>
      <c r="D8" s="314">
        <f t="shared" si="0"/>
        <v>2.8846153846153744E-2</v>
      </c>
      <c r="E8" s="311">
        <v>1552</v>
      </c>
      <c r="F8" s="314">
        <f t="shared" si="1"/>
        <v>0.24358974358974361</v>
      </c>
      <c r="G8" s="311">
        <v>1578</v>
      </c>
      <c r="H8" s="314">
        <f t="shared" si="2"/>
        <v>0.26442307692307687</v>
      </c>
      <c r="I8" s="313">
        <f t="shared" si="3"/>
        <v>4414</v>
      </c>
      <c r="J8" s="318">
        <f t="shared" si="4"/>
        <v>0.17895299145299148</v>
      </c>
      <c r="K8" s="311">
        <v>1273</v>
      </c>
      <c r="L8" s="314">
        <f t="shared" si="5"/>
        <v>2.0032051282051322E-2</v>
      </c>
      <c r="M8" s="311">
        <v>1575</v>
      </c>
      <c r="N8" s="314">
        <f t="shared" si="6"/>
        <v>0.26201923076923084</v>
      </c>
      <c r="O8" s="311">
        <v>1260</v>
      </c>
      <c r="P8" s="314">
        <f t="shared" si="7"/>
        <v>9.6153846153845812E-3</v>
      </c>
      <c r="Q8" s="313">
        <f t="shared" si="8"/>
        <v>4108</v>
      </c>
      <c r="R8" s="318">
        <f t="shared" si="9"/>
        <v>9.7222222222222321E-2</v>
      </c>
    </row>
    <row r="9" spans="1:18" x14ac:dyDescent="0.25">
      <c r="A9" s="324" t="s">
        <v>171</v>
      </c>
      <c r="B9" s="335">
        <v>468</v>
      </c>
      <c r="C9" s="311">
        <v>384</v>
      </c>
      <c r="D9" s="314">
        <f t="shared" si="0"/>
        <v>-0.17948717948717952</v>
      </c>
      <c r="E9" s="311">
        <v>786</v>
      </c>
      <c r="F9" s="314">
        <f t="shared" si="1"/>
        <v>0.67948717948717952</v>
      </c>
      <c r="G9" s="311">
        <v>705</v>
      </c>
      <c r="H9" s="314">
        <f t="shared" si="2"/>
        <v>0.50641025641025639</v>
      </c>
      <c r="I9" s="313">
        <f t="shared" si="3"/>
        <v>1875</v>
      </c>
      <c r="J9" s="318">
        <f t="shared" si="4"/>
        <v>0.33547008547008539</v>
      </c>
      <c r="K9" s="311">
        <v>731</v>
      </c>
      <c r="L9" s="314">
        <f t="shared" si="5"/>
        <v>0.56196581196581197</v>
      </c>
      <c r="M9" s="311">
        <v>697</v>
      </c>
      <c r="N9" s="314">
        <f t="shared" si="6"/>
        <v>0.48931623931623935</v>
      </c>
      <c r="O9" s="311">
        <v>716</v>
      </c>
      <c r="P9" s="314">
        <f t="shared" si="7"/>
        <v>0.52991452991452981</v>
      </c>
      <c r="Q9" s="313">
        <f t="shared" si="8"/>
        <v>2144</v>
      </c>
      <c r="R9" s="318">
        <f t="shared" si="9"/>
        <v>0.52706552706552712</v>
      </c>
    </row>
    <row r="10" spans="1:18" x14ac:dyDescent="0.25">
      <c r="A10" s="435" t="s">
        <v>172</v>
      </c>
      <c r="B10" s="342">
        <v>526</v>
      </c>
      <c r="C10" s="329">
        <v>506</v>
      </c>
      <c r="D10" s="314">
        <f t="shared" si="0"/>
        <v>-3.802281368821292E-2</v>
      </c>
      <c r="E10" s="329">
        <v>602</v>
      </c>
      <c r="F10" s="314">
        <f t="shared" si="1"/>
        <v>0.14448669201520903</v>
      </c>
      <c r="G10" s="329">
        <v>481</v>
      </c>
      <c r="H10" s="330">
        <f t="shared" si="2"/>
        <v>-8.5551330798479097E-2</v>
      </c>
      <c r="I10" s="331">
        <f t="shared" si="3"/>
        <v>1589</v>
      </c>
      <c r="J10" s="332">
        <f t="shared" si="4"/>
        <v>6.9708491761724112E-3</v>
      </c>
      <c r="K10" s="329">
        <v>501</v>
      </c>
      <c r="L10" s="330">
        <f t="shared" si="5"/>
        <v>-4.7528517110266177E-2</v>
      </c>
      <c r="M10" s="329">
        <v>414</v>
      </c>
      <c r="N10" s="330">
        <f t="shared" si="6"/>
        <v>-0.21292775665399244</v>
      </c>
      <c r="O10" s="329">
        <v>422</v>
      </c>
      <c r="P10" s="330">
        <f t="shared" si="7"/>
        <v>-0.19771863117870725</v>
      </c>
      <c r="Q10" s="331">
        <f t="shared" si="8"/>
        <v>1337</v>
      </c>
      <c r="R10" s="332">
        <f t="shared" si="9"/>
        <v>-0.15272496831432192</v>
      </c>
    </row>
    <row r="11" spans="1:18" x14ac:dyDescent="0.25">
      <c r="A11" s="309" t="s">
        <v>163</v>
      </c>
      <c r="B11" s="342">
        <v>263</v>
      </c>
      <c r="C11" s="329">
        <v>234</v>
      </c>
      <c r="D11" s="314">
        <f t="shared" si="0"/>
        <v>-0.11026615969581754</v>
      </c>
      <c r="E11" s="329">
        <v>224</v>
      </c>
      <c r="F11" s="314">
        <f t="shared" si="1"/>
        <v>-0.14828897338403046</v>
      </c>
      <c r="G11" s="329">
        <v>216</v>
      </c>
      <c r="H11" s="330">
        <f t="shared" si="2"/>
        <v>-0.17870722433460073</v>
      </c>
      <c r="I11" s="331">
        <f t="shared" si="3"/>
        <v>674</v>
      </c>
      <c r="J11" s="332">
        <f t="shared" si="4"/>
        <v>-0.14575411913814951</v>
      </c>
      <c r="K11" s="329">
        <v>236</v>
      </c>
      <c r="L11" s="330">
        <f t="shared" si="5"/>
        <v>-0.10266159695817489</v>
      </c>
      <c r="M11" s="329">
        <v>212</v>
      </c>
      <c r="N11" s="330">
        <f t="shared" si="6"/>
        <v>-0.19391634980988592</v>
      </c>
      <c r="O11" s="329">
        <v>195</v>
      </c>
      <c r="P11" s="330">
        <f t="shared" si="7"/>
        <v>-0.2585551330798479</v>
      </c>
      <c r="Q11" s="331">
        <f t="shared" si="8"/>
        <v>643</v>
      </c>
      <c r="R11" s="332">
        <f t="shared" si="9"/>
        <v>-0.18504435994930291</v>
      </c>
    </row>
    <row r="12" spans="1:18" x14ac:dyDescent="0.25">
      <c r="A12" s="310" t="s">
        <v>162</v>
      </c>
      <c r="B12" s="335">
        <v>263</v>
      </c>
      <c r="C12" s="311">
        <v>178</v>
      </c>
      <c r="D12" s="314">
        <f t="shared" si="0"/>
        <v>-0.32319391634980987</v>
      </c>
      <c r="E12" s="311">
        <v>182</v>
      </c>
      <c r="F12" s="314">
        <f t="shared" si="1"/>
        <v>-0.30798479087452468</v>
      </c>
      <c r="G12" s="311">
        <v>178</v>
      </c>
      <c r="H12" s="314">
        <f t="shared" si="2"/>
        <v>-0.32319391634980987</v>
      </c>
      <c r="I12" s="331">
        <f t="shared" si="3"/>
        <v>538</v>
      </c>
      <c r="J12" s="332">
        <f t="shared" si="4"/>
        <v>-0.31812420785804818</v>
      </c>
      <c r="K12" s="311">
        <v>192</v>
      </c>
      <c r="L12" s="314">
        <f t="shared" si="5"/>
        <v>-0.26996197718631176</v>
      </c>
      <c r="M12" s="311">
        <v>75</v>
      </c>
      <c r="N12" s="314">
        <f t="shared" si="6"/>
        <v>-0.71482889733840305</v>
      </c>
      <c r="O12" s="311">
        <v>0</v>
      </c>
      <c r="P12" s="314">
        <f t="shared" si="7"/>
        <v>-1</v>
      </c>
      <c r="Q12" s="331">
        <f t="shared" si="8"/>
        <v>267</v>
      </c>
      <c r="R12" s="332">
        <f t="shared" si="9"/>
        <v>-0.66159695817490494</v>
      </c>
    </row>
    <row r="13" spans="1:18" x14ac:dyDescent="0.25">
      <c r="A13" s="310" t="s">
        <v>204</v>
      </c>
      <c r="B13" s="335">
        <v>166</v>
      </c>
      <c r="C13" s="311">
        <v>88</v>
      </c>
      <c r="D13" s="314">
        <f t="shared" si="0"/>
        <v>-0.46987951807228912</v>
      </c>
      <c r="E13" s="311">
        <v>144</v>
      </c>
      <c r="F13" s="314">
        <f t="shared" si="1"/>
        <v>-0.13253012048192769</v>
      </c>
      <c r="G13" s="311">
        <v>114</v>
      </c>
      <c r="H13" s="314">
        <f t="shared" si="2"/>
        <v>-0.31325301204819278</v>
      </c>
      <c r="I13" s="331">
        <f t="shared" si="3"/>
        <v>346</v>
      </c>
      <c r="J13" s="332">
        <f t="shared" si="4"/>
        <v>-0.30522088353413657</v>
      </c>
      <c r="K13" s="311">
        <v>43</v>
      </c>
      <c r="L13" s="314">
        <f t="shared" si="5"/>
        <v>-0.74096385542168675</v>
      </c>
      <c r="M13" s="311">
        <v>94</v>
      </c>
      <c r="N13" s="314">
        <f t="shared" si="6"/>
        <v>-0.4337349397590361</v>
      </c>
      <c r="O13" s="311">
        <v>88</v>
      </c>
      <c r="P13" s="314">
        <f t="shared" si="7"/>
        <v>-0.46987951807228912</v>
      </c>
      <c r="Q13" s="331">
        <f t="shared" si="8"/>
        <v>225</v>
      </c>
      <c r="R13" s="332">
        <f t="shared" si="9"/>
        <v>-0.54819277108433728</v>
      </c>
    </row>
    <row r="14" spans="1:18" ht="15" customHeight="1" x14ac:dyDescent="0.25">
      <c r="A14" s="310" t="s">
        <v>272</v>
      </c>
      <c r="B14" s="335">
        <v>216</v>
      </c>
      <c r="C14" s="311">
        <v>194</v>
      </c>
      <c r="D14" s="314">
        <f t="shared" si="0"/>
        <v>-0.10185185185185186</v>
      </c>
      <c r="E14" s="311">
        <v>91</v>
      </c>
      <c r="F14" s="314">
        <f t="shared" si="1"/>
        <v>-0.57870370370370372</v>
      </c>
      <c r="G14" s="311">
        <v>0</v>
      </c>
      <c r="H14" s="314">
        <f t="shared" si="2"/>
        <v>-1</v>
      </c>
      <c r="I14" s="331">
        <f t="shared" si="3"/>
        <v>285</v>
      </c>
      <c r="J14" s="332">
        <f t="shared" si="4"/>
        <v>-0.56018518518518512</v>
      </c>
      <c r="K14" s="311">
        <v>43</v>
      </c>
      <c r="L14" s="314">
        <f t="shared" si="5"/>
        <v>-0.80092592592592593</v>
      </c>
      <c r="M14" s="311">
        <v>167</v>
      </c>
      <c r="N14" s="314">
        <f t="shared" si="6"/>
        <v>-0.22685185185185186</v>
      </c>
      <c r="O14" s="311">
        <v>80</v>
      </c>
      <c r="P14" s="314">
        <f t="shared" si="7"/>
        <v>-0.62962962962962965</v>
      </c>
      <c r="Q14" s="331">
        <f t="shared" si="8"/>
        <v>290</v>
      </c>
      <c r="R14" s="332">
        <f t="shared" si="9"/>
        <v>-0.55246913580246915</v>
      </c>
    </row>
    <row r="15" spans="1:18" ht="15" customHeight="1" x14ac:dyDescent="0.25">
      <c r="A15" s="323" t="s">
        <v>273</v>
      </c>
      <c r="B15" s="342">
        <v>756</v>
      </c>
      <c r="C15" s="329">
        <v>516</v>
      </c>
      <c r="D15" s="330">
        <f t="shared" si="0"/>
        <v>-0.31746031746031744</v>
      </c>
      <c r="E15" s="329">
        <v>151</v>
      </c>
      <c r="F15" s="330">
        <f t="shared" si="1"/>
        <v>-0.80026455026455023</v>
      </c>
      <c r="G15" s="329">
        <v>0</v>
      </c>
      <c r="H15" s="330">
        <f t="shared" si="2"/>
        <v>-1</v>
      </c>
      <c r="I15" s="331">
        <f t="shared" si="3"/>
        <v>667</v>
      </c>
      <c r="J15" s="332">
        <f t="shared" si="4"/>
        <v>-0.70590828924162263</v>
      </c>
      <c r="K15" s="329">
        <v>121</v>
      </c>
      <c r="L15" s="330">
        <f t="shared" si="5"/>
        <v>-0.83994708994709</v>
      </c>
      <c r="M15" s="329">
        <v>375</v>
      </c>
      <c r="N15" s="330">
        <f t="shared" si="6"/>
        <v>-0.50396825396825395</v>
      </c>
      <c r="O15" s="329">
        <v>119</v>
      </c>
      <c r="P15" s="330">
        <f t="shared" si="7"/>
        <v>-0.84259259259259256</v>
      </c>
      <c r="Q15" s="331">
        <f t="shared" si="8"/>
        <v>615</v>
      </c>
      <c r="R15" s="332">
        <f t="shared" si="9"/>
        <v>-0.72883597883597884</v>
      </c>
    </row>
    <row r="16" spans="1:18" ht="15" customHeight="1" x14ac:dyDescent="0.25">
      <c r="A16" s="310" t="s">
        <v>274</v>
      </c>
      <c r="B16" s="335">
        <v>80</v>
      </c>
      <c r="C16" s="311">
        <v>109</v>
      </c>
      <c r="D16" s="314">
        <f t="shared" si="0"/>
        <v>0.36250000000000004</v>
      </c>
      <c r="E16" s="311">
        <v>153</v>
      </c>
      <c r="F16" s="314">
        <f t="shared" si="1"/>
        <v>0.91250000000000009</v>
      </c>
      <c r="G16" s="311">
        <v>136</v>
      </c>
      <c r="H16" s="314">
        <f t="shared" si="2"/>
        <v>0.7</v>
      </c>
      <c r="I16" s="331">
        <f t="shared" si="3"/>
        <v>398</v>
      </c>
      <c r="J16" s="332">
        <f t="shared" si="4"/>
        <v>0.65833333333333344</v>
      </c>
      <c r="K16" s="311">
        <v>130</v>
      </c>
      <c r="L16" s="314">
        <f t="shared" si="5"/>
        <v>0.625</v>
      </c>
      <c r="M16" s="311">
        <v>101</v>
      </c>
      <c r="N16" s="314">
        <f t="shared" si="6"/>
        <v>0.26249999999999996</v>
      </c>
      <c r="O16" s="311">
        <v>84</v>
      </c>
      <c r="P16" s="314">
        <f t="shared" si="7"/>
        <v>5.0000000000000044E-2</v>
      </c>
      <c r="Q16" s="331">
        <f t="shared" si="8"/>
        <v>315</v>
      </c>
      <c r="R16" s="332">
        <f t="shared" si="9"/>
        <v>0.3125</v>
      </c>
    </row>
    <row r="17" spans="1:18" ht="15.75" customHeight="1" thickBot="1" x14ac:dyDescent="0.3">
      <c r="A17" s="309" t="s">
        <v>275</v>
      </c>
      <c r="B17" s="431">
        <v>200</v>
      </c>
      <c r="C17" s="428">
        <v>297</v>
      </c>
      <c r="D17" s="432">
        <f t="shared" si="0"/>
        <v>0.4850000000000001</v>
      </c>
      <c r="E17" s="428">
        <v>442</v>
      </c>
      <c r="F17" s="432">
        <f t="shared" si="1"/>
        <v>1.21</v>
      </c>
      <c r="G17" s="428">
        <v>401</v>
      </c>
      <c r="H17" s="432">
        <f t="shared" si="2"/>
        <v>1.0049999999999999</v>
      </c>
      <c r="I17" s="459">
        <f t="shared" si="3"/>
        <v>1140</v>
      </c>
      <c r="J17" s="433">
        <f t="shared" si="4"/>
        <v>0.89999999999999991</v>
      </c>
      <c r="K17" s="428">
        <v>359</v>
      </c>
      <c r="L17" s="432">
        <f t="shared" si="5"/>
        <v>0.79499999999999993</v>
      </c>
      <c r="M17" s="428">
        <v>247</v>
      </c>
      <c r="N17" s="432">
        <f t="shared" si="6"/>
        <v>0.2350000000000001</v>
      </c>
      <c r="O17" s="428">
        <v>220</v>
      </c>
      <c r="P17" s="432">
        <f t="shared" si="7"/>
        <v>0.10000000000000009</v>
      </c>
      <c r="Q17" s="331">
        <f t="shared" si="8"/>
        <v>826</v>
      </c>
      <c r="R17" s="332">
        <f t="shared" si="9"/>
        <v>0.37666666666666671</v>
      </c>
    </row>
    <row r="18" spans="1:18" ht="15.75" customHeight="1" thickBot="1" x14ac:dyDescent="0.3">
      <c r="A18" s="50" t="s">
        <v>2</v>
      </c>
      <c r="B18" s="370">
        <f>SUM(B7:B17)</f>
        <v>7786</v>
      </c>
      <c r="C18" s="54">
        <f>SUM(C7:C17)</f>
        <v>7113</v>
      </c>
      <c r="D18" s="59">
        <f t="shared" si="0"/>
        <v>-8.6437194965322428E-2</v>
      </c>
      <c r="E18" s="54">
        <f>SUM(E7:E17)</f>
        <v>7785</v>
      </c>
      <c r="F18" s="59">
        <f t="shared" si="1"/>
        <v>-1.2843565373743537E-4</v>
      </c>
      <c r="G18" s="54">
        <f>SUM(G7:G17)</f>
        <v>7068</v>
      </c>
      <c r="H18" s="371">
        <f t="shared" si="2"/>
        <v>-9.2216799383508907E-2</v>
      </c>
      <c r="I18" s="460">
        <f t="shared" si="3"/>
        <v>21966</v>
      </c>
      <c r="J18" s="461">
        <f t="shared" si="4"/>
        <v>-5.9594143334189553E-2</v>
      </c>
      <c r="K18" s="54">
        <f>SUM(K7:K17)</f>
        <v>6629</v>
      </c>
      <c r="L18" s="59">
        <f t="shared" si="5"/>
        <v>-0.14860005137426147</v>
      </c>
      <c r="M18" s="54">
        <f>SUM(M7:M17)</f>
        <v>7214</v>
      </c>
      <c r="N18" s="59">
        <f t="shared" si="6"/>
        <v>-7.3465193937837125E-2</v>
      </c>
      <c r="O18" s="54">
        <f>SUM(O7:O17)</f>
        <v>6097</v>
      </c>
      <c r="P18" s="371">
        <f t="shared" si="7"/>
        <v>-0.21692781916259951</v>
      </c>
      <c r="Q18" s="372">
        <f t="shared" si="8"/>
        <v>19940</v>
      </c>
      <c r="R18" s="381">
        <f t="shared" si="9"/>
        <v>-0.14633102149156607</v>
      </c>
    </row>
    <row r="19" spans="1:18" ht="15" hidden="1" customHeight="1" x14ac:dyDescent="0.25">
      <c r="B19" s="31"/>
    </row>
    <row r="20" spans="1:18" ht="15" hidden="1" customHeight="1" x14ac:dyDescent="0.25"/>
    <row r="21" spans="1:18" ht="15.75" hidden="1" customHeight="1" x14ac:dyDescent="0.25">
      <c r="A21" s="808" t="s">
        <v>352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</row>
    <row r="22" spans="1:18" ht="24.75" hidden="1" customHeight="1" thickBot="1" x14ac:dyDescent="0.3">
      <c r="A22" s="120" t="s">
        <v>8</v>
      </c>
      <c r="B22" s="121" t="s">
        <v>9</v>
      </c>
      <c r="C22" s="122" t="str">
        <f>'UBS Vila Dalva 2º SEM'!C6</f>
        <v>JUL</v>
      </c>
      <c r="D22" s="123" t="str">
        <f>'UBS Vila Dalva 2º SEM'!D6</f>
        <v>%</v>
      </c>
      <c r="E22" s="122" t="str">
        <f>'UBS Vila Dalva 2º SEM'!E6</f>
        <v>AGO</v>
      </c>
      <c r="F22" s="123" t="str">
        <f>'UBS Vila Dalva 2º SEM'!F6</f>
        <v>%</v>
      </c>
      <c r="G22" s="122" t="str">
        <f>'UBS Vila Dalva 2º SEM'!G6</f>
        <v>SET</v>
      </c>
      <c r="H22" s="123" t="str">
        <f>'UBS Vila Dalva 2º SEM'!H6</f>
        <v>%</v>
      </c>
      <c r="I22" s="124" t="str">
        <f>'UBS Vila Dalva 2º SEM'!I6</f>
        <v>Trimestre</v>
      </c>
      <c r="J22" s="124" t="str">
        <f>'UBS Vila Dalva 2º SEM'!J6</f>
        <v>%</v>
      </c>
      <c r="K22" s="122" t="str">
        <f>'UBS Vila Dalva 2º SEM'!K6</f>
        <v>OUT</v>
      </c>
      <c r="L22" s="123" t="str">
        <f>'UBS Vila Dalva 2º SEM'!L6</f>
        <v>%</v>
      </c>
      <c r="M22" s="122" t="str">
        <f>'UBS Vila Dalva 2º SEM'!M6</f>
        <v>NOV</v>
      </c>
      <c r="N22" s="123" t="str">
        <f>'UBS Vila Dalva 2º SEM'!N6</f>
        <v>%</v>
      </c>
      <c r="O22" s="122" t="str">
        <f>'UBS Vila Dalva 2º SEM'!O6</f>
        <v>DEZ</v>
      </c>
      <c r="P22" s="123" t="str">
        <f>'UBS Vila Dalva 2º SEM'!P6</f>
        <v>%</v>
      </c>
      <c r="Q22" s="124" t="str">
        <f>'UBS Vila Dalva 2º SEM'!Q6</f>
        <v>Trimestre</v>
      </c>
      <c r="R22" s="124" t="str">
        <f>'UBS Vila Dalva 2º SEM'!R6</f>
        <v>%</v>
      </c>
    </row>
    <row r="23" spans="1:18" ht="15.75" hidden="1" customHeight="1" thickTop="1" x14ac:dyDescent="0.25">
      <c r="A23" s="324" t="s">
        <v>265</v>
      </c>
      <c r="B23" s="741">
        <v>18</v>
      </c>
      <c r="C23" s="204">
        <v>18</v>
      </c>
      <c r="D23" s="209">
        <f t="shared" ref="D23:D36" si="10">((C23/$B23))-1</f>
        <v>0</v>
      </c>
      <c r="E23" s="204">
        <v>18</v>
      </c>
      <c r="F23" s="209">
        <f t="shared" ref="F23:F36" si="11">((E23/$B23))-1</f>
        <v>0</v>
      </c>
      <c r="G23" s="204">
        <v>18</v>
      </c>
      <c r="H23" s="209">
        <f t="shared" ref="H23:H36" si="12">((G23/$B23))-1</f>
        <v>0</v>
      </c>
      <c r="I23" s="210">
        <f t="shared" ref="I23:I36" si="13">C23+E23+G23</f>
        <v>54</v>
      </c>
      <c r="J23" s="211">
        <f t="shared" ref="J23:J36" si="14">((I23/(3*$B23)))-1</f>
        <v>0</v>
      </c>
      <c r="K23" s="204">
        <v>17</v>
      </c>
      <c r="L23" s="209">
        <f t="shared" ref="L23:L36" si="15">((K23/$B23))-1</f>
        <v>-5.555555555555558E-2</v>
      </c>
      <c r="M23" s="204"/>
      <c r="N23" s="209">
        <f t="shared" ref="N23:N36" si="16">((M23/$B23))-1</f>
        <v>-1</v>
      </c>
      <c r="O23" s="204"/>
      <c r="P23" s="209">
        <f t="shared" ref="P23:P36" si="17">((O23/$B23))-1</f>
        <v>-1</v>
      </c>
      <c r="Q23" s="210">
        <f t="shared" ref="Q23:Q36" si="18">K23+M23+O23</f>
        <v>17</v>
      </c>
      <c r="R23" s="211">
        <f t="shared" ref="R23:R36" si="19">((Q23/(3*$B23)))-1</f>
        <v>-0.68518518518518512</v>
      </c>
    </row>
    <row r="24" spans="1:18" ht="15" hidden="1" customHeight="1" x14ac:dyDescent="0.25">
      <c r="A24" s="324" t="s">
        <v>266</v>
      </c>
      <c r="B24" s="741">
        <v>3</v>
      </c>
      <c r="C24" s="204">
        <v>3</v>
      </c>
      <c r="D24" s="209">
        <f t="shared" si="10"/>
        <v>0</v>
      </c>
      <c r="E24" s="204">
        <v>3</v>
      </c>
      <c r="F24" s="209">
        <f t="shared" si="11"/>
        <v>0</v>
      </c>
      <c r="G24" s="204">
        <v>3</v>
      </c>
      <c r="H24" s="209">
        <f t="shared" si="12"/>
        <v>0</v>
      </c>
      <c r="I24" s="210">
        <f t="shared" si="13"/>
        <v>9</v>
      </c>
      <c r="J24" s="211">
        <f t="shared" si="14"/>
        <v>0</v>
      </c>
      <c r="K24" s="204">
        <v>3</v>
      </c>
      <c r="L24" s="209">
        <f t="shared" si="15"/>
        <v>0</v>
      </c>
      <c r="M24" s="204"/>
      <c r="N24" s="209">
        <f t="shared" si="16"/>
        <v>-1</v>
      </c>
      <c r="O24" s="204"/>
      <c r="P24" s="209">
        <f t="shared" si="17"/>
        <v>-1</v>
      </c>
      <c r="Q24" s="210">
        <f t="shared" si="18"/>
        <v>3</v>
      </c>
      <c r="R24" s="211">
        <f t="shared" si="19"/>
        <v>-0.66666666666666674</v>
      </c>
    </row>
    <row r="25" spans="1:18" ht="15" hidden="1" customHeight="1" x14ac:dyDescent="0.25">
      <c r="A25" s="324" t="s">
        <v>267</v>
      </c>
      <c r="B25" s="738">
        <v>3</v>
      </c>
      <c r="C25" s="736">
        <v>3</v>
      </c>
      <c r="D25" s="209">
        <f t="shared" si="10"/>
        <v>0</v>
      </c>
      <c r="E25" s="736">
        <v>3</v>
      </c>
      <c r="F25" s="209">
        <f t="shared" si="11"/>
        <v>0</v>
      </c>
      <c r="G25" s="736">
        <v>3</v>
      </c>
      <c r="H25" s="209">
        <f t="shared" si="12"/>
        <v>0</v>
      </c>
      <c r="I25" s="210">
        <f t="shared" si="13"/>
        <v>9</v>
      </c>
      <c r="J25" s="211">
        <f t="shared" si="14"/>
        <v>0</v>
      </c>
      <c r="K25" s="736">
        <v>3</v>
      </c>
      <c r="L25" s="209">
        <f t="shared" si="15"/>
        <v>0</v>
      </c>
      <c r="M25" s="736"/>
      <c r="N25" s="209">
        <f t="shared" si="16"/>
        <v>-1</v>
      </c>
      <c r="O25" s="736"/>
      <c r="P25" s="209">
        <f t="shared" si="17"/>
        <v>-1</v>
      </c>
      <c r="Q25" s="210">
        <f t="shared" si="18"/>
        <v>3</v>
      </c>
      <c r="R25" s="211">
        <f t="shared" si="19"/>
        <v>-0.66666666666666674</v>
      </c>
    </row>
    <row r="26" spans="1:18" ht="15" hidden="1" customHeight="1" x14ac:dyDescent="0.25">
      <c r="A26" s="434" t="s">
        <v>268</v>
      </c>
      <c r="B26" s="752">
        <v>2</v>
      </c>
      <c r="C26" s="456">
        <v>2</v>
      </c>
      <c r="D26" s="728">
        <f t="shared" si="10"/>
        <v>0</v>
      </c>
      <c r="E26" s="456">
        <v>2</v>
      </c>
      <c r="F26" s="728">
        <f t="shared" si="11"/>
        <v>0</v>
      </c>
      <c r="G26" s="456">
        <v>2</v>
      </c>
      <c r="H26" s="728">
        <f t="shared" si="12"/>
        <v>0</v>
      </c>
      <c r="I26" s="729">
        <f t="shared" si="13"/>
        <v>6</v>
      </c>
      <c r="J26" s="730">
        <f t="shared" si="14"/>
        <v>0</v>
      </c>
      <c r="K26" s="456">
        <v>2</v>
      </c>
      <c r="L26" s="728">
        <f t="shared" si="15"/>
        <v>0</v>
      </c>
      <c r="M26" s="456"/>
      <c r="N26" s="728">
        <f t="shared" si="16"/>
        <v>-1</v>
      </c>
      <c r="O26" s="456"/>
      <c r="P26" s="728">
        <f t="shared" si="17"/>
        <v>-1</v>
      </c>
      <c r="Q26" s="729">
        <f t="shared" si="18"/>
        <v>2</v>
      </c>
      <c r="R26" s="730">
        <f t="shared" si="19"/>
        <v>-0.66666666666666674</v>
      </c>
    </row>
    <row r="27" spans="1:18" ht="15" hidden="1" customHeight="1" x14ac:dyDescent="0.25">
      <c r="A27" s="309" t="s">
        <v>269</v>
      </c>
      <c r="B27" s="315">
        <v>1</v>
      </c>
      <c r="C27" s="311">
        <v>1</v>
      </c>
      <c r="D27" s="314">
        <f t="shared" si="10"/>
        <v>0</v>
      </c>
      <c r="E27" s="311">
        <v>1</v>
      </c>
      <c r="F27" s="314">
        <f t="shared" si="11"/>
        <v>0</v>
      </c>
      <c r="G27" s="311">
        <v>1</v>
      </c>
      <c r="H27" s="314">
        <f t="shared" si="12"/>
        <v>0</v>
      </c>
      <c r="I27" s="313">
        <f t="shared" si="13"/>
        <v>3</v>
      </c>
      <c r="J27" s="318">
        <f t="shared" si="14"/>
        <v>0</v>
      </c>
      <c r="K27" s="311">
        <v>1</v>
      </c>
      <c r="L27" s="314">
        <f t="shared" si="15"/>
        <v>0</v>
      </c>
      <c r="M27" s="311"/>
      <c r="N27" s="314">
        <f t="shared" si="16"/>
        <v>-1</v>
      </c>
      <c r="O27" s="311"/>
      <c r="P27" s="314">
        <f t="shared" si="17"/>
        <v>-1</v>
      </c>
      <c r="Q27" s="313">
        <f t="shared" si="18"/>
        <v>1</v>
      </c>
      <c r="R27" s="318">
        <f t="shared" si="19"/>
        <v>-0.66666666666666674</v>
      </c>
    </row>
    <row r="28" spans="1:18" ht="15" hidden="1" customHeight="1" x14ac:dyDescent="0.25">
      <c r="A28" s="310" t="s">
        <v>270</v>
      </c>
      <c r="B28" s="315">
        <v>1</v>
      </c>
      <c r="C28" s="311">
        <v>1</v>
      </c>
      <c r="D28" s="314">
        <f t="shared" si="10"/>
        <v>0</v>
      </c>
      <c r="E28" s="311">
        <v>1</v>
      </c>
      <c r="F28" s="314">
        <f t="shared" si="11"/>
        <v>0</v>
      </c>
      <c r="G28" s="311">
        <v>1</v>
      </c>
      <c r="H28" s="314">
        <f t="shared" si="12"/>
        <v>0</v>
      </c>
      <c r="I28" s="313">
        <f t="shared" si="13"/>
        <v>3</v>
      </c>
      <c r="J28" s="318">
        <f t="shared" si="14"/>
        <v>0</v>
      </c>
      <c r="K28" s="311">
        <v>1</v>
      </c>
      <c r="L28" s="314">
        <f t="shared" si="15"/>
        <v>0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1</v>
      </c>
      <c r="R28" s="318">
        <f t="shared" si="19"/>
        <v>-0.66666666666666674</v>
      </c>
    </row>
    <row r="29" spans="1:18" ht="15" hidden="1" customHeight="1" x14ac:dyDescent="0.25">
      <c r="A29" s="310" t="s">
        <v>271</v>
      </c>
      <c r="B29" s="315">
        <v>1</v>
      </c>
      <c r="C29" s="311">
        <v>1</v>
      </c>
      <c r="D29" s="314">
        <f t="shared" si="10"/>
        <v>0</v>
      </c>
      <c r="E29" s="311">
        <v>1</v>
      </c>
      <c r="F29" s="314">
        <f t="shared" si="11"/>
        <v>0</v>
      </c>
      <c r="G29" s="311">
        <v>1</v>
      </c>
      <c r="H29" s="314">
        <f t="shared" si="12"/>
        <v>0</v>
      </c>
      <c r="I29" s="313">
        <f t="shared" si="13"/>
        <v>3</v>
      </c>
      <c r="J29" s="318">
        <f t="shared" si="14"/>
        <v>0</v>
      </c>
      <c r="K29" s="311">
        <v>1</v>
      </c>
      <c r="L29" s="314">
        <f t="shared" si="15"/>
        <v>0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1</v>
      </c>
      <c r="R29" s="318">
        <f t="shared" si="19"/>
        <v>-0.66666666666666674</v>
      </c>
    </row>
    <row r="30" spans="1:18" ht="15" hidden="1" customHeight="1" x14ac:dyDescent="0.25">
      <c r="A30" s="310" t="s">
        <v>276</v>
      </c>
      <c r="B30" s="315">
        <v>1</v>
      </c>
      <c r="C30" s="311">
        <v>1</v>
      </c>
      <c r="D30" s="314">
        <f t="shared" si="10"/>
        <v>0</v>
      </c>
      <c r="E30" s="311">
        <v>1</v>
      </c>
      <c r="F30" s="314">
        <f t="shared" si="11"/>
        <v>0</v>
      </c>
      <c r="G30" s="311">
        <v>1</v>
      </c>
      <c r="H30" s="314">
        <f t="shared" si="12"/>
        <v>0</v>
      </c>
      <c r="I30" s="313">
        <f t="shared" si="13"/>
        <v>3</v>
      </c>
      <c r="J30" s="318">
        <f t="shared" si="14"/>
        <v>0</v>
      </c>
      <c r="K30" s="311">
        <v>1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1</v>
      </c>
      <c r="R30" s="318">
        <f t="shared" si="19"/>
        <v>-0.66666666666666674</v>
      </c>
    </row>
    <row r="31" spans="1:18" ht="15" hidden="1" customHeight="1" x14ac:dyDescent="0.25">
      <c r="A31" s="310" t="s">
        <v>277</v>
      </c>
      <c r="B31" s="315">
        <v>1</v>
      </c>
      <c r="C31" s="311">
        <v>1</v>
      </c>
      <c r="D31" s="314">
        <f t="shared" si="10"/>
        <v>0</v>
      </c>
      <c r="E31" s="311">
        <v>1</v>
      </c>
      <c r="F31" s="314">
        <f t="shared" si="11"/>
        <v>0</v>
      </c>
      <c r="G31" s="311">
        <v>1</v>
      </c>
      <c r="H31" s="314">
        <f t="shared" si="12"/>
        <v>0</v>
      </c>
      <c r="I31" s="313">
        <f t="shared" si="13"/>
        <v>3</v>
      </c>
      <c r="J31" s="318">
        <f t="shared" si="14"/>
        <v>0</v>
      </c>
      <c r="K31" s="311">
        <v>1</v>
      </c>
      <c r="L31" s="314">
        <f t="shared" si="15"/>
        <v>0</v>
      </c>
      <c r="M31" s="311"/>
      <c r="N31" s="314">
        <f t="shared" si="16"/>
        <v>-1</v>
      </c>
      <c r="O31" s="311"/>
      <c r="P31" s="314">
        <f t="shared" si="17"/>
        <v>-1</v>
      </c>
      <c r="Q31" s="313">
        <f t="shared" si="18"/>
        <v>1</v>
      </c>
      <c r="R31" s="318">
        <f t="shared" si="19"/>
        <v>-0.66666666666666674</v>
      </c>
    </row>
    <row r="32" spans="1:18" ht="15" hidden="1" customHeight="1" x14ac:dyDescent="0.25">
      <c r="A32" s="310" t="s">
        <v>278</v>
      </c>
      <c r="B32" s="315">
        <v>2</v>
      </c>
      <c r="C32" s="311">
        <v>2</v>
      </c>
      <c r="D32" s="314">
        <f t="shared" si="10"/>
        <v>0</v>
      </c>
      <c r="E32" s="311">
        <v>2</v>
      </c>
      <c r="F32" s="314">
        <f t="shared" si="11"/>
        <v>0</v>
      </c>
      <c r="G32" s="311">
        <v>2</v>
      </c>
      <c r="H32" s="314">
        <f t="shared" si="12"/>
        <v>0</v>
      </c>
      <c r="I32" s="313">
        <f t="shared" si="13"/>
        <v>6</v>
      </c>
      <c r="J32" s="318">
        <f t="shared" si="14"/>
        <v>0</v>
      </c>
      <c r="K32" s="311">
        <v>2</v>
      </c>
      <c r="L32" s="314">
        <f t="shared" si="15"/>
        <v>0</v>
      </c>
      <c r="M32" s="311"/>
      <c r="N32" s="314">
        <f t="shared" si="16"/>
        <v>-1</v>
      </c>
      <c r="O32" s="311"/>
      <c r="P32" s="314">
        <f t="shared" si="17"/>
        <v>-1</v>
      </c>
      <c r="Q32" s="313">
        <f t="shared" si="18"/>
        <v>2</v>
      </c>
      <c r="R32" s="318">
        <f t="shared" si="19"/>
        <v>-0.66666666666666674</v>
      </c>
    </row>
    <row r="33" spans="1:18" ht="15" hidden="1" customHeight="1" x14ac:dyDescent="0.25">
      <c r="A33" s="310" t="s">
        <v>279</v>
      </c>
      <c r="B33" s="315">
        <v>4</v>
      </c>
      <c r="C33" s="311">
        <v>4</v>
      </c>
      <c r="D33" s="314">
        <f t="shared" si="10"/>
        <v>0</v>
      </c>
      <c r="E33" s="311">
        <v>4</v>
      </c>
      <c r="F33" s="314">
        <f t="shared" si="11"/>
        <v>0</v>
      </c>
      <c r="G33" s="311">
        <v>3</v>
      </c>
      <c r="H33" s="314">
        <f t="shared" si="12"/>
        <v>-0.25</v>
      </c>
      <c r="I33" s="313">
        <f t="shared" si="13"/>
        <v>11</v>
      </c>
      <c r="J33" s="318">
        <f t="shared" si="14"/>
        <v>-8.333333333333337E-2</v>
      </c>
      <c r="K33" s="311">
        <v>3</v>
      </c>
      <c r="L33" s="314">
        <f t="shared" si="15"/>
        <v>-0.25</v>
      </c>
      <c r="M33" s="311"/>
      <c r="N33" s="314">
        <f t="shared" si="16"/>
        <v>-1</v>
      </c>
      <c r="O33" s="311"/>
      <c r="P33" s="314">
        <f t="shared" si="17"/>
        <v>-1</v>
      </c>
      <c r="Q33" s="313">
        <f t="shared" si="18"/>
        <v>3</v>
      </c>
      <c r="R33" s="318">
        <f t="shared" si="19"/>
        <v>-0.75</v>
      </c>
    </row>
    <row r="34" spans="1:18" ht="15" hidden="1" customHeight="1" x14ac:dyDescent="0.25">
      <c r="A34" s="310" t="s">
        <v>280</v>
      </c>
      <c r="B34" s="335">
        <v>1</v>
      </c>
      <c r="C34" s="311">
        <v>1</v>
      </c>
      <c r="D34" s="314">
        <f t="shared" si="10"/>
        <v>0</v>
      </c>
      <c r="E34" s="311">
        <v>1</v>
      </c>
      <c r="F34" s="314">
        <f t="shared" si="11"/>
        <v>0</v>
      </c>
      <c r="G34" s="311">
        <v>1</v>
      </c>
      <c r="H34" s="314">
        <f t="shared" si="12"/>
        <v>0</v>
      </c>
      <c r="I34" s="313">
        <f t="shared" si="13"/>
        <v>3</v>
      </c>
      <c r="J34" s="318">
        <f t="shared" si="14"/>
        <v>0</v>
      </c>
      <c r="K34" s="311">
        <v>1</v>
      </c>
      <c r="L34" s="314">
        <f t="shared" si="15"/>
        <v>0</v>
      </c>
      <c r="M34" s="311"/>
      <c r="N34" s="314">
        <f t="shared" si="16"/>
        <v>-1</v>
      </c>
      <c r="O34" s="311"/>
      <c r="P34" s="314">
        <f t="shared" si="17"/>
        <v>-1</v>
      </c>
      <c r="Q34" s="313">
        <f t="shared" si="18"/>
        <v>1</v>
      </c>
      <c r="R34" s="318">
        <f t="shared" si="19"/>
        <v>-0.66666666666666674</v>
      </c>
    </row>
    <row r="35" spans="1:18" ht="15.75" hidden="1" customHeight="1" thickBot="1" x14ac:dyDescent="0.25">
      <c r="A35" s="309" t="s">
        <v>153</v>
      </c>
      <c r="B35" s="337">
        <v>1</v>
      </c>
      <c r="C35" s="709">
        <v>1</v>
      </c>
      <c r="D35" s="314">
        <f t="shared" si="10"/>
        <v>0</v>
      </c>
      <c r="E35" s="709">
        <v>1</v>
      </c>
      <c r="F35" s="314">
        <f t="shared" si="11"/>
        <v>0</v>
      </c>
      <c r="G35" s="336">
        <v>1</v>
      </c>
      <c r="H35" s="314">
        <f t="shared" si="12"/>
        <v>0</v>
      </c>
      <c r="I35" s="313">
        <f t="shared" si="13"/>
        <v>3</v>
      </c>
      <c r="J35" s="318">
        <f t="shared" si="14"/>
        <v>0</v>
      </c>
      <c r="K35" s="709">
        <v>1</v>
      </c>
      <c r="L35" s="314">
        <f t="shared" si="15"/>
        <v>0</v>
      </c>
      <c r="M35" s="336"/>
      <c r="N35" s="314">
        <f t="shared" si="16"/>
        <v>-1</v>
      </c>
      <c r="O35" s="336"/>
      <c r="P35" s="314">
        <f t="shared" si="17"/>
        <v>-1</v>
      </c>
      <c r="Q35" s="313">
        <f t="shared" si="18"/>
        <v>1</v>
      </c>
      <c r="R35" s="318">
        <f t="shared" si="19"/>
        <v>-0.66666666666666674</v>
      </c>
    </row>
    <row r="36" spans="1:18" ht="15.75" hidden="1" customHeight="1" thickBot="1" x14ac:dyDescent="0.3">
      <c r="A36" s="50" t="s">
        <v>2</v>
      </c>
      <c r="B36" s="370">
        <f>SUM(B23:B35)</f>
        <v>39</v>
      </c>
      <c r="C36" s="54">
        <f>SUM(C26:C35)</f>
        <v>15</v>
      </c>
      <c r="D36" s="382">
        <f t="shared" si="10"/>
        <v>-0.61538461538461542</v>
      </c>
      <c r="E36" s="54">
        <f>SUM(E26:E35)</f>
        <v>15</v>
      </c>
      <c r="F36" s="382">
        <f t="shared" si="11"/>
        <v>-0.61538461538461542</v>
      </c>
      <c r="G36" s="54">
        <f>SUM(G26:G35)</f>
        <v>14</v>
      </c>
      <c r="H36" s="383">
        <f t="shared" si="12"/>
        <v>-0.64102564102564097</v>
      </c>
      <c r="I36" s="372">
        <f t="shared" si="13"/>
        <v>44</v>
      </c>
      <c r="J36" s="373">
        <f t="shared" si="14"/>
        <v>-0.62393162393162394</v>
      </c>
      <c r="K36" s="54">
        <f>SUM(K26:K35)</f>
        <v>14</v>
      </c>
      <c r="L36" s="382">
        <f t="shared" si="15"/>
        <v>-0.64102564102564097</v>
      </c>
      <c r="M36" s="54">
        <f>SUM(M26:M35)</f>
        <v>0</v>
      </c>
      <c r="N36" s="382">
        <f t="shared" si="16"/>
        <v>-1</v>
      </c>
      <c r="O36" s="54">
        <f>SUM(O26:O35)</f>
        <v>0</v>
      </c>
      <c r="P36" s="383">
        <f t="shared" si="17"/>
        <v>-1</v>
      </c>
      <c r="Q36" s="372">
        <f t="shared" si="18"/>
        <v>14</v>
      </c>
      <c r="R36" s="381">
        <f t="shared" si="19"/>
        <v>-0.88034188034188032</v>
      </c>
    </row>
  </sheetData>
  <mergeCells count="4">
    <mergeCell ref="A2:R2"/>
    <mergeCell ref="A3:R3"/>
    <mergeCell ref="A5:R5"/>
    <mergeCell ref="A21:R21"/>
  </mergeCells>
  <pageMargins left="0.23622047244094491" right="0.23622047244094491" top="0.47244094488188981" bottom="0.74803149606299213" header="0.31496062992125984" footer="0.31496062992125984"/>
  <pageSetup paperSize="9" scale="78" orientation="landscape" r:id="rId1"/>
  <headerFooter>
    <oddFooter>&amp;L&amp;10Fonte: Sistema WEBSAASS / SMS&amp;R&amp;10pag.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2:R4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4.7109375" customWidth="1"/>
    <col min="2" max="2" width="9" bestFit="1" customWidth="1"/>
    <col min="3" max="3" width="9" style="23" bestFit="1" customWidth="1"/>
    <col min="4" max="4" width="8.5703125" customWidth="1"/>
    <col min="5" max="5" width="9" bestFit="1" customWidth="1"/>
    <col min="6" max="6" width="8.5703125" customWidth="1"/>
    <col min="7" max="7" width="9" bestFit="1" customWidth="1"/>
    <col min="8" max="8" width="10.140625" bestFit="1" customWidth="1"/>
    <col min="9" max="9" width="9.28515625" customWidth="1"/>
    <col min="10" max="10" width="10.140625" bestFit="1" customWidth="1"/>
    <col min="11" max="11" width="9" bestFit="1" customWidth="1"/>
    <col min="12" max="12" width="10.140625" bestFit="1" customWidth="1"/>
    <col min="13" max="13" width="9" bestFit="1" customWidth="1"/>
    <col min="14" max="14" width="9.5703125" customWidth="1"/>
    <col min="15" max="15" width="9" bestFit="1" customWidth="1"/>
    <col min="16" max="16" width="8.140625" customWidth="1"/>
    <col min="17" max="17" width="9.28515625" customWidth="1"/>
    <col min="18" max="18" width="8.2851562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353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76" t="s">
        <v>8</v>
      </c>
      <c r="B6" s="77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24.75" thickTop="1" x14ac:dyDescent="0.25">
      <c r="A7" s="854" t="s">
        <v>3</v>
      </c>
      <c r="B7" s="6">
        <v>576</v>
      </c>
      <c r="C7" s="7">
        <v>616</v>
      </c>
      <c r="D7" s="11">
        <f>((C7/$B7))-1</f>
        <v>6.944444444444442E-2</v>
      </c>
      <c r="E7" s="7">
        <v>532</v>
      </c>
      <c r="F7" s="11">
        <f>((E7/$B7))-1</f>
        <v>-7.638888888888884E-2</v>
      </c>
      <c r="G7" s="7">
        <v>732</v>
      </c>
      <c r="H7" s="11">
        <f>((G7/$B7))-1</f>
        <v>0.27083333333333326</v>
      </c>
      <c r="I7" s="9">
        <f t="shared" ref="I7:I12" si="0">C7+E7+G7</f>
        <v>1880</v>
      </c>
      <c r="J7" s="12">
        <f>((I7/(3*$B7)))-1</f>
        <v>8.7962962962963021E-2</v>
      </c>
      <c r="K7" s="7">
        <v>403</v>
      </c>
      <c r="L7" s="11">
        <f>((K7/$B7))-1</f>
        <v>-0.30034722222222221</v>
      </c>
      <c r="M7" s="7">
        <v>636</v>
      </c>
      <c r="N7" s="11">
        <f>((M7/$B7))-1</f>
        <v>0.10416666666666674</v>
      </c>
      <c r="O7" s="7">
        <v>613</v>
      </c>
      <c r="P7" s="11">
        <f>((O7/$B7))-1</f>
        <v>6.423611111111116E-2</v>
      </c>
      <c r="Q7" s="9">
        <f t="shared" ref="Q7:Q12" si="1">K7+M7+O7</f>
        <v>1652</v>
      </c>
      <c r="R7" s="12">
        <f>((Q7/(3*$B7)))-1</f>
        <v>-4.398148148148151E-2</v>
      </c>
    </row>
    <row r="8" spans="1:18" x14ac:dyDescent="0.25">
      <c r="A8" s="854" t="s">
        <v>4</v>
      </c>
      <c r="B8" s="79">
        <v>2016</v>
      </c>
      <c r="C8" s="80">
        <v>2759</v>
      </c>
      <c r="D8" s="11">
        <f t="shared" ref="D8:D13" si="2">((C8/$B8))-1</f>
        <v>0.36855158730158721</v>
      </c>
      <c r="E8" s="80">
        <v>2229</v>
      </c>
      <c r="F8" s="11">
        <f t="shared" ref="F8:F12" si="3">((E8/$B8))-1</f>
        <v>0.10565476190476186</v>
      </c>
      <c r="G8" s="80">
        <v>2852</v>
      </c>
      <c r="H8" s="11">
        <f t="shared" ref="H8:H12" si="4">((G8/$B8))-1</f>
        <v>0.41468253968253976</v>
      </c>
      <c r="I8" s="9">
        <f t="shared" si="0"/>
        <v>7840</v>
      </c>
      <c r="J8" s="12">
        <f t="shared" ref="J8:J12" si="5">((I8/(3*$B8)))-1</f>
        <v>0.29629629629629628</v>
      </c>
      <c r="K8" s="80">
        <v>2437</v>
      </c>
      <c r="L8" s="11">
        <f t="shared" ref="L8:L12" si="6">((K8/$B8))-1</f>
        <v>0.20882936507936511</v>
      </c>
      <c r="M8" s="80">
        <v>3115</v>
      </c>
      <c r="N8" s="11">
        <f t="shared" ref="N8:N12" si="7">((M8/$B8))-1</f>
        <v>0.54513888888888884</v>
      </c>
      <c r="O8" s="80">
        <v>1797</v>
      </c>
      <c r="P8" s="11">
        <f t="shared" ref="P8:P12" si="8">((O8/$B8))-1</f>
        <v>-0.10863095238095233</v>
      </c>
      <c r="Q8" s="9">
        <f t="shared" si="1"/>
        <v>7349</v>
      </c>
      <c r="R8" s="12">
        <f t="shared" ref="R8:R13" si="9">((Q8/(3*$B8)))-1</f>
        <v>0.21511243386243395</v>
      </c>
    </row>
    <row r="9" spans="1:18" x14ac:dyDescent="0.25">
      <c r="A9" s="78" t="s">
        <v>5</v>
      </c>
      <c r="B9" s="79">
        <v>1578</v>
      </c>
      <c r="C9" s="80">
        <v>1756</v>
      </c>
      <c r="D9" s="11">
        <f t="shared" si="2"/>
        <v>0.11280101394169839</v>
      </c>
      <c r="E9" s="80">
        <v>1549</v>
      </c>
      <c r="F9" s="11">
        <f t="shared" si="3"/>
        <v>-1.8377693282636276E-2</v>
      </c>
      <c r="G9" s="80">
        <v>1772</v>
      </c>
      <c r="H9" s="11">
        <f t="shared" si="4"/>
        <v>0.12294043092522178</v>
      </c>
      <c r="I9" s="9">
        <f t="shared" si="0"/>
        <v>5077</v>
      </c>
      <c r="J9" s="12">
        <f t="shared" si="5"/>
        <v>7.245458386142789E-2</v>
      </c>
      <c r="K9" s="80">
        <v>1254</v>
      </c>
      <c r="L9" s="11">
        <f t="shared" si="6"/>
        <v>-0.20532319391634979</v>
      </c>
      <c r="M9" s="80">
        <v>1755</v>
      </c>
      <c r="N9" s="11">
        <f t="shared" si="7"/>
        <v>0.11216730038022815</v>
      </c>
      <c r="O9" s="80">
        <v>1401</v>
      </c>
      <c r="P9" s="11">
        <f t="shared" si="8"/>
        <v>-0.11216730038022815</v>
      </c>
      <c r="Q9" s="9">
        <f t="shared" si="1"/>
        <v>4410</v>
      </c>
      <c r="R9" s="12">
        <f t="shared" si="9"/>
        <v>-6.84410646387833E-2</v>
      </c>
    </row>
    <row r="10" spans="1:18" x14ac:dyDescent="0.25">
      <c r="A10" s="78" t="s">
        <v>7</v>
      </c>
      <c r="B10" s="79">
        <v>1052</v>
      </c>
      <c r="C10" s="80">
        <v>852</v>
      </c>
      <c r="D10" s="11">
        <f t="shared" si="2"/>
        <v>-0.1901140684410646</v>
      </c>
      <c r="E10" s="80">
        <v>1032</v>
      </c>
      <c r="F10" s="11">
        <f t="shared" si="3"/>
        <v>-1.9011406844106515E-2</v>
      </c>
      <c r="G10" s="80">
        <v>1221</v>
      </c>
      <c r="H10" s="11">
        <f t="shared" si="4"/>
        <v>0.16064638783269958</v>
      </c>
      <c r="I10" s="9">
        <f t="shared" si="0"/>
        <v>3105</v>
      </c>
      <c r="J10" s="12">
        <f t="shared" si="5"/>
        <v>-1.6159695817490549E-2</v>
      </c>
      <c r="K10" s="80">
        <v>887</v>
      </c>
      <c r="L10" s="11">
        <f t="shared" si="6"/>
        <v>-0.15684410646387836</v>
      </c>
      <c r="M10" s="80">
        <v>1172</v>
      </c>
      <c r="N10" s="11">
        <f t="shared" si="7"/>
        <v>0.11406844106463887</v>
      </c>
      <c r="O10" s="80">
        <v>929</v>
      </c>
      <c r="P10" s="11">
        <f t="shared" si="8"/>
        <v>-0.11692015209125473</v>
      </c>
      <c r="Q10" s="9">
        <f t="shared" si="1"/>
        <v>2988</v>
      </c>
      <c r="R10" s="12">
        <f t="shared" si="9"/>
        <v>-5.323193916349811E-2</v>
      </c>
    </row>
    <row r="11" spans="1:18" x14ac:dyDescent="0.25">
      <c r="A11" s="81" t="s">
        <v>15</v>
      </c>
      <c r="B11" s="82">
        <v>789</v>
      </c>
      <c r="C11" s="83">
        <v>717</v>
      </c>
      <c r="D11" s="47">
        <f t="shared" si="2"/>
        <v>-9.125475285171103E-2</v>
      </c>
      <c r="E11" s="83">
        <v>742</v>
      </c>
      <c r="F11" s="47">
        <f t="shared" si="3"/>
        <v>-5.9569074778200282E-2</v>
      </c>
      <c r="G11" s="83">
        <v>907</v>
      </c>
      <c r="H11" s="47">
        <f t="shared" si="4"/>
        <v>0.14955640050697094</v>
      </c>
      <c r="I11" s="9">
        <f t="shared" si="0"/>
        <v>2366</v>
      </c>
      <c r="J11" s="132">
        <f t="shared" si="5"/>
        <v>-4.2247570764686326E-4</v>
      </c>
      <c r="K11" s="83">
        <v>606</v>
      </c>
      <c r="L11" s="47">
        <f t="shared" si="6"/>
        <v>-0.23193916349809884</v>
      </c>
      <c r="M11" s="83">
        <v>811</v>
      </c>
      <c r="N11" s="130">
        <f t="shared" si="7"/>
        <v>2.7883396704689423E-2</v>
      </c>
      <c r="O11" s="83">
        <v>716</v>
      </c>
      <c r="P11" s="130">
        <f t="shared" si="8"/>
        <v>-9.2522179974651508E-2</v>
      </c>
      <c r="Q11" s="9">
        <f t="shared" si="1"/>
        <v>2133</v>
      </c>
      <c r="R11" s="132">
        <f t="shared" si="9"/>
        <v>-9.8859315589353569E-2</v>
      </c>
    </row>
    <row r="12" spans="1:18" ht="15.75" thickBot="1" x14ac:dyDescent="0.3">
      <c r="A12" s="84" t="s">
        <v>6</v>
      </c>
      <c r="B12" s="85">
        <v>332</v>
      </c>
      <c r="C12" s="86">
        <v>238</v>
      </c>
      <c r="D12" s="87">
        <f t="shared" si="2"/>
        <v>-0.2831325301204819</v>
      </c>
      <c r="E12" s="86">
        <v>204</v>
      </c>
      <c r="F12" s="87">
        <f t="shared" si="3"/>
        <v>-0.38554216867469882</v>
      </c>
      <c r="G12" s="86">
        <v>171</v>
      </c>
      <c r="H12" s="87">
        <f t="shared" si="4"/>
        <v>-0.48493975903614461</v>
      </c>
      <c r="I12" s="48">
        <f t="shared" si="0"/>
        <v>613</v>
      </c>
      <c r="J12" s="193">
        <f t="shared" si="5"/>
        <v>-0.38453815261044177</v>
      </c>
      <c r="K12" s="86">
        <v>238</v>
      </c>
      <c r="L12" s="87">
        <f t="shared" si="6"/>
        <v>-0.2831325301204819</v>
      </c>
      <c r="M12" s="86">
        <v>287</v>
      </c>
      <c r="N12" s="87">
        <f t="shared" si="7"/>
        <v>-0.13554216867469882</v>
      </c>
      <c r="O12" s="86">
        <v>260</v>
      </c>
      <c r="P12" s="87">
        <f t="shared" si="8"/>
        <v>-0.2168674698795181</v>
      </c>
      <c r="Q12" s="131">
        <f t="shared" si="1"/>
        <v>785</v>
      </c>
      <c r="R12" s="193">
        <f t="shared" si="9"/>
        <v>-0.2118473895582329</v>
      </c>
    </row>
    <row r="13" spans="1:18" ht="15.75" thickBot="1" x14ac:dyDescent="0.3">
      <c r="A13" s="50" t="s">
        <v>2</v>
      </c>
      <c r="B13" s="52">
        <f>SUM(B7:B12)</f>
        <v>6343</v>
      </c>
      <c r="C13" s="54">
        <f>SUM(C7:C12)</f>
        <v>6938</v>
      </c>
      <c r="D13" s="59">
        <f t="shared" si="2"/>
        <v>9.3804193599243302E-2</v>
      </c>
      <c r="E13" s="54">
        <f>SUM(E7:E12)</f>
        <v>6288</v>
      </c>
      <c r="F13" s="59">
        <f>((E13/$B13))-1</f>
        <v>-8.6709758789216274E-3</v>
      </c>
      <c r="G13" s="54">
        <f>SUM(G7:G12)</f>
        <v>7655</v>
      </c>
      <c r="H13" s="59">
        <f>((G13/$B13))-1</f>
        <v>0.20684218823900369</v>
      </c>
      <c r="I13" s="53">
        <f>C13+E13+G13</f>
        <v>20881</v>
      </c>
      <c r="J13" s="133">
        <f>((I13/(3*$B13)))-1</f>
        <v>9.7325135319775047E-2</v>
      </c>
      <c r="K13" s="54">
        <f>SUM(K7:K12)</f>
        <v>5825</v>
      </c>
      <c r="L13" s="59">
        <f>((K13/$B13))-1</f>
        <v>-8.1664827368752912E-2</v>
      </c>
      <c r="M13" s="54">
        <f>SUM(M7:M12)</f>
        <v>7776</v>
      </c>
      <c r="N13" s="59">
        <f>((M13/$B13))-1</f>
        <v>0.22591833517263127</v>
      </c>
      <c r="O13" s="54">
        <f>SUM(O7:O12)</f>
        <v>5716</v>
      </c>
      <c r="P13" s="59">
        <f>((O13/$B13))-1</f>
        <v>-9.8849125019706774E-2</v>
      </c>
      <c r="Q13" s="53">
        <f>K13+M13+O13</f>
        <v>19317</v>
      </c>
      <c r="R13" s="133">
        <f t="shared" si="9"/>
        <v>1.5134794261390416E-2</v>
      </c>
    </row>
    <row r="16" spans="1:18" ht="15.75" hidden="1" x14ac:dyDescent="0.25">
      <c r="A16" s="801" t="s">
        <v>354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</row>
    <row r="17" spans="1:18" ht="24.75" hidden="1" thickBot="1" x14ac:dyDescent="0.3">
      <c r="A17" s="88" t="s">
        <v>8</v>
      </c>
      <c r="B17" s="89" t="s">
        <v>9</v>
      </c>
      <c r="C17" s="122" t="str">
        <f>'UBS Vila Dalva 1° SEM'!C6</f>
        <v>JAN</v>
      </c>
      <c r="D17" s="123" t="str">
        <f>'UBS Vila Dalva 1° SEM'!D6</f>
        <v>%</v>
      </c>
      <c r="E17" s="122" t="str">
        <f>'UBS Vila Dalva 1° SEM'!E6</f>
        <v>FEV</v>
      </c>
      <c r="F17" s="123" t="str">
        <f>'UBS Vila Dalva 1° SEM'!F6</f>
        <v>%</v>
      </c>
      <c r="G17" s="122" t="str">
        <f>'UBS Vila Dalva 1° SEM'!G6</f>
        <v>MAR</v>
      </c>
      <c r="H17" s="123" t="str">
        <f>'UBS Vila Dalva 1° SEM'!H6</f>
        <v>%</v>
      </c>
      <c r="I17" s="124" t="str">
        <f>'UBS Vila Dalva 1° SEM'!I6</f>
        <v>Trimestre</v>
      </c>
      <c r="J17" s="124" t="str">
        <f>'UBS Vila Dalva 1° SEM'!J6</f>
        <v>%</v>
      </c>
      <c r="K17" s="122" t="str">
        <f>'UBS Vila Dalva 1° SEM'!K6</f>
        <v>ABR</v>
      </c>
      <c r="L17" s="123" t="str">
        <f>'UBS Vila Dalva 1° SEM'!L6</f>
        <v>%</v>
      </c>
      <c r="M17" s="122" t="str">
        <f>'UBS Vila Dalva 1° SEM'!M6</f>
        <v>MAI</v>
      </c>
      <c r="N17" s="123" t="str">
        <f>'UBS Vila Dalva 1° SEM'!N6</f>
        <v>%</v>
      </c>
      <c r="O17" s="122" t="str">
        <f>'UBS Vila Dalva 1° SEM'!O6</f>
        <v>JUN</v>
      </c>
      <c r="P17" s="123" t="str">
        <f>'UBS Vila Dalva 1° SEM'!P6</f>
        <v>%</v>
      </c>
      <c r="Q17" s="124" t="str">
        <f>'UBS Vila Dalva 1° SEM'!Q6</f>
        <v>Trimestre</v>
      </c>
      <c r="R17" s="124" t="str">
        <f>'UBS Vila Dalva 1° SEM'!R6</f>
        <v>%</v>
      </c>
    </row>
    <row r="18" spans="1:18" ht="15.75" hidden="1" thickTop="1" x14ac:dyDescent="0.25">
      <c r="A18" s="78" t="s">
        <v>13</v>
      </c>
      <c r="B18" s="91">
        <v>6</v>
      </c>
      <c r="C18" s="712">
        <v>6</v>
      </c>
      <c r="D18" s="11">
        <f t="shared" ref="D18:D29" si="10">((C18/$B18))-1</f>
        <v>0</v>
      </c>
      <c r="E18" s="713">
        <v>6</v>
      </c>
      <c r="F18" s="11">
        <f t="shared" ref="F18:F29" si="11">((E18/$B18))-1</f>
        <v>0</v>
      </c>
      <c r="G18" s="297">
        <v>6</v>
      </c>
      <c r="H18" s="11">
        <f t="shared" ref="H18:H29" si="12">((G18/$B18))-1</f>
        <v>0</v>
      </c>
      <c r="I18" s="9">
        <f t="shared" ref="I18:I29" si="13">C18+E18+G18</f>
        <v>18</v>
      </c>
      <c r="J18" s="12">
        <f t="shared" ref="J18:J29" si="14">((I18/(3*$B18)))-1</f>
        <v>0</v>
      </c>
      <c r="K18" s="92">
        <v>6</v>
      </c>
      <c r="L18" s="11">
        <f t="shared" ref="L18:L29" si="15">((K18/$B18))-1</f>
        <v>0</v>
      </c>
      <c r="M18" s="710">
        <v>6</v>
      </c>
      <c r="N18" s="717">
        <f t="shared" ref="N18:N29" si="16">((M18/$B18))-1</f>
        <v>0</v>
      </c>
      <c r="O18" s="298">
        <v>6</v>
      </c>
      <c r="P18" s="11">
        <f t="shared" ref="P18:P29" si="17">((O18/$B18))-1</f>
        <v>0</v>
      </c>
      <c r="Q18" s="9">
        <f t="shared" ref="Q18:Q29" si="18">K18+M18+O18</f>
        <v>18</v>
      </c>
      <c r="R18" s="12">
        <f t="shared" ref="R18:R29" si="19">((Q18/(3*$B18)))-1</f>
        <v>0</v>
      </c>
    </row>
    <row r="19" spans="1:18" hidden="1" x14ac:dyDescent="0.25">
      <c r="A19" s="78" t="s">
        <v>282</v>
      </c>
      <c r="B19" s="91">
        <v>6</v>
      </c>
      <c r="C19" s="92">
        <v>6</v>
      </c>
      <c r="D19" s="11">
        <f t="shared" si="10"/>
        <v>0</v>
      </c>
      <c r="E19" s="295">
        <v>6</v>
      </c>
      <c r="F19" s="11">
        <f t="shared" si="11"/>
        <v>0</v>
      </c>
      <c r="G19" s="92">
        <v>6</v>
      </c>
      <c r="H19" s="11">
        <f t="shared" si="12"/>
        <v>0</v>
      </c>
      <c r="I19" s="9">
        <f t="shared" si="13"/>
        <v>18</v>
      </c>
      <c r="J19" s="12">
        <f t="shared" si="14"/>
        <v>0</v>
      </c>
      <c r="K19" s="92">
        <v>6</v>
      </c>
      <c r="L19" s="11">
        <f t="shared" si="15"/>
        <v>0</v>
      </c>
      <c r="M19" s="716">
        <v>6</v>
      </c>
      <c r="N19" s="717">
        <f t="shared" si="16"/>
        <v>0</v>
      </c>
      <c r="O19" s="92">
        <v>6</v>
      </c>
      <c r="P19" s="11">
        <f t="shared" si="17"/>
        <v>0</v>
      </c>
      <c r="Q19" s="9">
        <f t="shared" si="18"/>
        <v>18</v>
      </c>
      <c r="R19" s="12">
        <f t="shared" si="19"/>
        <v>0</v>
      </c>
    </row>
    <row r="20" spans="1:18" hidden="1" x14ac:dyDescent="0.25">
      <c r="A20" s="78" t="s">
        <v>197</v>
      </c>
      <c r="B20" s="91">
        <v>4</v>
      </c>
      <c r="C20" s="711">
        <v>4</v>
      </c>
      <c r="D20" s="11">
        <f t="shared" si="10"/>
        <v>0</v>
      </c>
      <c r="E20" s="710">
        <v>4</v>
      </c>
      <c r="F20" s="11">
        <f t="shared" si="11"/>
        <v>0</v>
      </c>
      <c r="G20" s="710">
        <v>4</v>
      </c>
      <c r="H20" s="11">
        <f t="shared" si="12"/>
        <v>0</v>
      </c>
      <c r="I20" s="9">
        <f t="shared" si="13"/>
        <v>12</v>
      </c>
      <c r="J20" s="12">
        <f t="shared" si="14"/>
        <v>0</v>
      </c>
      <c r="K20" s="710">
        <v>4</v>
      </c>
      <c r="L20" s="11">
        <f t="shared" si="15"/>
        <v>0</v>
      </c>
      <c r="M20" s="710">
        <v>4</v>
      </c>
      <c r="N20" s="717">
        <f t="shared" si="16"/>
        <v>0</v>
      </c>
      <c r="O20" s="104">
        <v>4</v>
      </c>
      <c r="P20" s="11">
        <f t="shared" si="17"/>
        <v>0</v>
      </c>
      <c r="Q20" s="9">
        <f t="shared" si="18"/>
        <v>12</v>
      </c>
      <c r="R20" s="12">
        <f t="shared" si="19"/>
        <v>0</v>
      </c>
    </row>
    <row r="21" spans="1:18" hidden="1" x14ac:dyDescent="0.25">
      <c r="A21" s="81" t="s">
        <v>198</v>
      </c>
      <c r="B21" s="91">
        <v>3</v>
      </c>
      <c r="C21" s="92">
        <v>3</v>
      </c>
      <c r="D21" s="11">
        <f t="shared" si="10"/>
        <v>0</v>
      </c>
      <c r="E21" s="295">
        <v>3</v>
      </c>
      <c r="F21" s="11">
        <f t="shared" si="11"/>
        <v>0</v>
      </c>
      <c r="G21" s="92">
        <v>3</v>
      </c>
      <c r="H21" s="11">
        <f t="shared" si="12"/>
        <v>0</v>
      </c>
      <c r="I21" s="9">
        <f t="shared" si="13"/>
        <v>9</v>
      </c>
      <c r="J21" s="12">
        <f t="shared" si="14"/>
        <v>0</v>
      </c>
      <c r="K21" s="92">
        <v>3</v>
      </c>
      <c r="L21" s="11">
        <f t="shared" si="15"/>
        <v>0</v>
      </c>
      <c r="M21" s="716">
        <v>3</v>
      </c>
      <c r="N21" s="717">
        <f t="shared" si="16"/>
        <v>0</v>
      </c>
      <c r="O21" s="92">
        <v>3</v>
      </c>
      <c r="P21" s="11">
        <f t="shared" si="17"/>
        <v>0</v>
      </c>
      <c r="Q21" s="9">
        <f t="shared" si="18"/>
        <v>9</v>
      </c>
      <c r="R21" s="12">
        <f t="shared" si="19"/>
        <v>0</v>
      </c>
    </row>
    <row r="22" spans="1:18" hidden="1" x14ac:dyDescent="0.25">
      <c r="A22" s="84" t="s">
        <v>259</v>
      </c>
      <c r="B22" s="91">
        <v>2</v>
      </c>
      <c r="C22" s="92">
        <v>2</v>
      </c>
      <c r="D22" s="11">
        <f t="shared" si="10"/>
        <v>0</v>
      </c>
      <c r="E22" s="295">
        <v>2</v>
      </c>
      <c r="F22" s="11">
        <f t="shared" si="11"/>
        <v>0</v>
      </c>
      <c r="G22" s="92">
        <v>2</v>
      </c>
      <c r="H22" s="11">
        <f t="shared" si="12"/>
        <v>0</v>
      </c>
      <c r="I22" s="9">
        <f t="shared" si="13"/>
        <v>6</v>
      </c>
      <c r="J22" s="12">
        <f t="shared" si="14"/>
        <v>0</v>
      </c>
      <c r="K22" s="92">
        <v>2</v>
      </c>
      <c r="L22" s="11">
        <f t="shared" si="15"/>
        <v>0</v>
      </c>
      <c r="M22" s="716">
        <v>2</v>
      </c>
      <c r="N22" s="717">
        <f t="shared" si="16"/>
        <v>0</v>
      </c>
      <c r="O22" s="92">
        <v>2</v>
      </c>
      <c r="P22" s="11">
        <f t="shared" si="17"/>
        <v>0</v>
      </c>
      <c r="Q22" s="9">
        <f t="shared" si="18"/>
        <v>6</v>
      </c>
      <c r="R22" s="12">
        <f t="shared" si="19"/>
        <v>0</v>
      </c>
    </row>
    <row r="23" spans="1:18" hidden="1" x14ac:dyDescent="0.25">
      <c r="A23" s="321" t="s">
        <v>184</v>
      </c>
      <c r="B23" s="216">
        <v>2</v>
      </c>
      <c r="C23" s="104">
        <v>3</v>
      </c>
      <c r="D23" s="209">
        <f t="shared" ref="D23:D24" si="20">((C23/$B23))-1</f>
        <v>0.5</v>
      </c>
      <c r="E23" s="104">
        <v>2</v>
      </c>
      <c r="F23" s="209">
        <f t="shared" ref="F23:F24" si="21">((E23/$B23))-1</f>
        <v>0</v>
      </c>
      <c r="G23" s="104">
        <v>2</v>
      </c>
      <c r="H23" s="209">
        <f t="shared" ref="H23:H24" si="22">((G23/$B23))-1</f>
        <v>0</v>
      </c>
      <c r="I23" s="210">
        <f t="shared" ref="I23:I24" si="23">C23+E23+G23</f>
        <v>7</v>
      </c>
      <c r="J23" s="211">
        <f t="shared" ref="J23:J24" si="24">((I23/(3*$B23)))-1</f>
        <v>0.16666666666666674</v>
      </c>
      <c r="K23" s="104">
        <v>2</v>
      </c>
      <c r="L23" s="209">
        <f t="shared" ref="L23:L24" si="25">((K23/$B23))-1</f>
        <v>0</v>
      </c>
      <c r="M23" s="711">
        <v>2</v>
      </c>
      <c r="N23" s="718">
        <f t="shared" ref="N23:N24" si="26">((M23/$B23))-1</f>
        <v>0</v>
      </c>
      <c r="O23" s="104">
        <v>2</v>
      </c>
      <c r="P23" s="209">
        <f t="shared" ref="P23:P24" si="27">((O23/$B23))-1</f>
        <v>0</v>
      </c>
      <c r="Q23" s="210">
        <f t="shared" ref="Q23:Q24" si="28">K23+M23+O23</f>
        <v>6</v>
      </c>
      <c r="R23" s="211">
        <f t="shared" ref="R23:R24" si="29">((Q23/(3*$B23)))-1</f>
        <v>0</v>
      </c>
    </row>
    <row r="24" spans="1:18" hidden="1" x14ac:dyDescent="0.25">
      <c r="A24" s="321" t="s">
        <v>145</v>
      </c>
      <c r="B24" s="216">
        <v>7</v>
      </c>
      <c r="C24" s="104">
        <v>7</v>
      </c>
      <c r="D24" s="209">
        <f t="shared" si="20"/>
        <v>0</v>
      </c>
      <c r="E24" s="104">
        <v>7</v>
      </c>
      <c r="F24" s="209">
        <f t="shared" si="21"/>
        <v>0</v>
      </c>
      <c r="G24" s="104">
        <v>7</v>
      </c>
      <c r="H24" s="209">
        <f t="shared" si="22"/>
        <v>0</v>
      </c>
      <c r="I24" s="210">
        <f t="shared" si="23"/>
        <v>21</v>
      </c>
      <c r="J24" s="211">
        <f t="shared" si="24"/>
        <v>0</v>
      </c>
      <c r="K24" s="104">
        <v>7</v>
      </c>
      <c r="L24" s="209">
        <f t="shared" si="25"/>
        <v>0</v>
      </c>
      <c r="M24" s="711">
        <v>7</v>
      </c>
      <c r="N24" s="718">
        <f t="shared" si="26"/>
        <v>0</v>
      </c>
      <c r="O24" s="104">
        <v>7</v>
      </c>
      <c r="P24" s="209">
        <f t="shared" si="27"/>
        <v>0</v>
      </c>
      <c r="Q24" s="210">
        <f t="shared" si="28"/>
        <v>21</v>
      </c>
      <c r="R24" s="211">
        <f t="shared" si="29"/>
        <v>0</v>
      </c>
    </row>
    <row r="25" spans="1:18" hidden="1" x14ac:dyDescent="0.25">
      <c r="A25" s="90" t="s">
        <v>185</v>
      </c>
      <c r="B25" s="91">
        <v>2</v>
      </c>
      <c r="C25" s="92">
        <v>1</v>
      </c>
      <c r="D25" s="11">
        <f t="shared" si="10"/>
        <v>-0.5</v>
      </c>
      <c r="E25" s="92">
        <v>1</v>
      </c>
      <c r="F25" s="11">
        <f t="shared" si="11"/>
        <v>-0.5</v>
      </c>
      <c r="G25" s="92">
        <v>1</v>
      </c>
      <c r="H25" s="11">
        <f t="shared" si="12"/>
        <v>-0.5</v>
      </c>
      <c r="I25" s="9">
        <f t="shared" si="13"/>
        <v>3</v>
      </c>
      <c r="J25" s="12">
        <f t="shared" si="14"/>
        <v>-0.5</v>
      </c>
      <c r="K25" s="92">
        <v>1</v>
      </c>
      <c r="L25" s="11">
        <f t="shared" si="15"/>
        <v>-0.5</v>
      </c>
      <c r="M25" s="716">
        <v>1</v>
      </c>
      <c r="N25" s="717">
        <f t="shared" si="16"/>
        <v>-0.5</v>
      </c>
      <c r="O25" s="92">
        <v>1</v>
      </c>
      <c r="P25" s="11">
        <f t="shared" si="17"/>
        <v>-0.5</v>
      </c>
      <c r="Q25" s="9">
        <f t="shared" si="18"/>
        <v>3</v>
      </c>
      <c r="R25" s="12">
        <f t="shared" si="19"/>
        <v>-0.5</v>
      </c>
    </row>
    <row r="26" spans="1:18" hidden="1" x14ac:dyDescent="0.25">
      <c r="A26" s="322" t="s">
        <v>187</v>
      </c>
      <c r="B26" s="316">
        <v>1</v>
      </c>
      <c r="C26" s="307">
        <v>0</v>
      </c>
      <c r="D26" s="47">
        <f t="shared" si="10"/>
        <v>-1</v>
      </c>
      <c r="E26" s="307">
        <v>0</v>
      </c>
      <c r="F26" s="47">
        <f t="shared" si="11"/>
        <v>-1</v>
      </c>
      <c r="G26" s="307">
        <v>0</v>
      </c>
      <c r="H26" s="47">
        <f t="shared" si="12"/>
        <v>-1</v>
      </c>
      <c r="I26" s="305">
        <f t="shared" si="13"/>
        <v>0</v>
      </c>
      <c r="J26" s="132">
        <f t="shared" si="14"/>
        <v>-1</v>
      </c>
      <c r="K26" s="307">
        <v>0</v>
      </c>
      <c r="L26" s="47">
        <f t="shared" si="15"/>
        <v>-1</v>
      </c>
      <c r="M26" s="714">
        <v>0</v>
      </c>
      <c r="N26" s="719">
        <f t="shared" si="16"/>
        <v>-1</v>
      </c>
      <c r="O26" s="307">
        <v>0</v>
      </c>
      <c r="P26" s="130">
        <f t="shared" si="17"/>
        <v>-1</v>
      </c>
      <c r="Q26" s="305">
        <f t="shared" si="18"/>
        <v>0</v>
      </c>
      <c r="R26" s="132">
        <f t="shared" si="19"/>
        <v>-1</v>
      </c>
    </row>
    <row r="27" spans="1:18" hidden="1" x14ac:dyDescent="0.25">
      <c r="A27" s="310" t="s">
        <v>153</v>
      </c>
      <c r="B27" s="315">
        <v>2</v>
      </c>
      <c r="C27" s="311">
        <v>2</v>
      </c>
      <c r="D27" s="314">
        <f t="shared" si="10"/>
        <v>0</v>
      </c>
      <c r="E27" s="311">
        <v>2</v>
      </c>
      <c r="F27" s="314">
        <f t="shared" si="11"/>
        <v>0</v>
      </c>
      <c r="G27" s="311">
        <v>1</v>
      </c>
      <c r="H27" s="314">
        <f>((G27/$B27))-1</f>
        <v>-0.5</v>
      </c>
      <c r="I27" s="313">
        <f t="shared" si="13"/>
        <v>5</v>
      </c>
      <c r="J27" s="318">
        <f t="shared" si="14"/>
        <v>-0.16666666666666663</v>
      </c>
      <c r="K27" s="311">
        <v>2</v>
      </c>
      <c r="L27" s="314">
        <f t="shared" si="15"/>
        <v>0</v>
      </c>
      <c r="M27" s="715">
        <v>2</v>
      </c>
      <c r="N27" s="314">
        <f t="shared" si="16"/>
        <v>0</v>
      </c>
      <c r="O27" s="311">
        <v>2</v>
      </c>
      <c r="P27" s="314">
        <f t="shared" si="17"/>
        <v>0</v>
      </c>
      <c r="Q27" s="313">
        <f t="shared" si="18"/>
        <v>6</v>
      </c>
      <c r="R27" s="318">
        <f t="shared" si="19"/>
        <v>0</v>
      </c>
    </row>
    <row r="28" spans="1:18" hidden="1" x14ac:dyDescent="0.25">
      <c r="A28" s="310" t="s">
        <v>199</v>
      </c>
      <c r="B28" s="315">
        <v>3</v>
      </c>
      <c r="C28" s="311">
        <v>2</v>
      </c>
      <c r="D28" s="314">
        <f t="shared" si="10"/>
        <v>-0.33333333333333337</v>
      </c>
      <c r="E28" s="311">
        <v>2</v>
      </c>
      <c r="F28" s="314">
        <f t="shared" si="11"/>
        <v>-0.33333333333333337</v>
      </c>
      <c r="G28" s="311">
        <v>2</v>
      </c>
      <c r="H28" s="314">
        <f>((G28/$B28))-1</f>
        <v>-0.33333333333333337</v>
      </c>
      <c r="I28" s="313">
        <f t="shared" si="13"/>
        <v>6</v>
      </c>
      <c r="J28" s="318">
        <f t="shared" si="14"/>
        <v>-0.33333333333333337</v>
      </c>
      <c r="K28" s="311">
        <v>2</v>
      </c>
      <c r="L28" s="314">
        <f t="shared" si="15"/>
        <v>-0.33333333333333337</v>
      </c>
      <c r="M28" s="715">
        <v>2</v>
      </c>
      <c r="N28" s="314">
        <f t="shared" si="16"/>
        <v>-0.33333333333333337</v>
      </c>
      <c r="O28" s="311">
        <v>2</v>
      </c>
      <c r="P28" s="314">
        <f t="shared" si="17"/>
        <v>-0.33333333333333337</v>
      </c>
      <c r="Q28" s="313">
        <f t="shared" si="18"/>
        <v>6</v>
      </c>
      <c r="R28" s="318">
        <f t="shared" si="19"/>
        <v>-0.33333333333333337</v>
      </c>
    </row>
    <row r="29" spans="1:18" ht="15.75" hidden="1" thickBot="1" x14ac:dyDescent="0.3">
      <c r="A29" s="56" t="s">
        <v>2</v>
      </c>
      <c r="B29" s="57">
        <f>SUM(B18:B28)</f>
        <v>38</v>
      </c>
      <c r="C29" s="317">
        <f>SUM(C18:C28)</f>
        <v>36</v>
      </c>
      <c r="D29" s="304">
        <f t="shared" si="10"/>
        <v>-5.2631578947368474E-2</v>
      </c>
      <c r="E29" s="317">
        <f>SUM(E18:E28)</f>
        <v>35</v>
      </c>
      <c r="F29" s="304">
        <f t="shared" si="11"/>
        <v>-7.8947368421052655E-2</v>
      </c>
      <c r="G29" s="317">
        <f>SUM(G18:G28)</f>
        <v>34</v>
      </c>
      <c r="H29" s="304">
        <f t="shared" si="12"/>
        <v>-0.10526315789473684</v>
      </c>
      <c r="I29" s="306">
        <f t="shared" si="13"/>
        <v>105</v>
      </c>
      <c r="J29" s="133">
        <f t="shared" si="14"/>
        <v>-7.8947368421052655E-2</v>
      </c>
      <c r="K29" s="317">
        <v>35</v>
      </c>
      <c r="L29" s="304">
        <f t="shared" si="15"/>
        <v>-7.8947368421052655E-2</v>
      </c>
      <c r="M29" s="317">
        <f>SUM(M18:M28)</f>
        <v>35</v>
      </c>
      <c r="N29" s="304">
        <f t="shared" si="16"/>
        <v>-7.8947368421052655E-2</v>
      </c>
      <c r="O29" s="317">
        <f>SUM(O18:O28)</f>
        <v>35</v>
      </c>
      <c r="P29" s="304">
        <f t="shared" si="17"/>
        <v>-7.8947368421052655E-2</v>
      </c>
      <c r="Q29" s="306">
        <f t="shared" si="18"/>
        <v>105</v>
      </c>
      <c r="R29" s="133">
        <f t="shared" si="19"/>
        <v>-7.8947368421052655E-2</v>
      </c>
    </row>
    <row r="31" spans="1:18" ht="15.75" x14ac:dyDescent="0.25">
      <c r="A31" s="801" t="s">
        <v>355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</row>
    <row r="32" spans="1:18" ht="24.75" thickBot="1" x14ac:dyDescent="0.3">
      <c r="A32" s="64" t="s">
        <v>8</v>
      </c>
      <c r="B32" s="341" t="s">
        <v>9</v>
      </c>
      <c r="C32" s="325" t="str">
        <f t="shared" ref="C32:R32" si="30">C17</f>
        <v>JAN</v>
      </c>
      <c r="D32" s="326" t="str">
        <f t="shared" si="30"/>
        <v>%</v>
      </c>
      <c r="E32" s="325" t="str">
        <f t="shared" si="30"/>
        <v>FEV</v>
      </c>
      <c r="F32" s="326" t="str">
        <f t="shared" si="30"/>
        <v>%</v>
      </c>
      <c r="G32" s="325" t="str">
        <f t="shared" si="30"/>
        <v>MAR</v>
      </c>
      <c r="H32" s="326" t="str">
        <f t="shared" si="30"/>
        <v>%</v>
      </c>
      <c r="I32" s="327" t="str">
        <f t="shared" si="30"/>
        <v>Trimestre</v>
      </c>
      <c r="J32" s="327" t="str">
        <f t="shared" si="30"/>
        <v>%</v>
      </c>
      <c r="K32" s="325" t="str">
        <f t="shared" si="30"/>
        <v>ABR</v>
      </c>
      <c r="L32" s="326" t="str">
        <f t="shared" si="30"/>
        <v>%</v>
      </c>
      <c r="M32" s="325" t="str">
        <f t="shared" si="30"/>
        <v>MAI</v>
      </c>
      <c r="N32" s="326" t="str">
        <f t="shared" si="30"/>
        <v>%</v>
      </c>
      <c r="O32" s="325" t="str">
        <f t="shared" si="30"/>
        <v>JUN</v>
      </c>
      <c r="P32" s="326" t="str">
        <f t="shared" si="30"/>
        <v>%</v>
      </c>
      <c r="Q32" s="327" t="str">
        <f t="shared" si="30"/>
        <v>Trimestre</v>
      </c>
      <c r="R32" s="327" t="str">
        <f t="shared" si="30"/>
        <v>%</v>
      </c>
    </row>
    <row r="33" spans="1:18" ht="15.75" thickTop="1" x14ac:dyDescent="0.25">
      <c r="A33" s="324" t="s">
        <v>254</v>
      </c>
      <c r="B33" s="335">
        <v>568</v>
      </c>
      <c r="C33" s="311">
        <v>0</v>
      </c>
      <c r="D33" s="314">
        <f>((C33/$B33))-1</f>
        <v>-1</v>
      </c>
      <c r="E33" s="311">
        <v>0</v>
      </c>
      <c r="F33" s="314">
        <f>((E33/$B33))-1</f>
        <v>-1</v>
      </c>
      <c r="G33" s="311">
        <v>0</v>
      </c>
      <c r="H33" s="314">
        <f>((G33/$B33))-1</f>
        <v>-1</v>
      </c>
      <c r="I33" s="313">
        <f>C33+E33+G33</f>
        <v>0</v>
      </c>
      <c r="J33" s="318">
        <f>((I33/(3*$B33)))-1</f>
        <v>-1</v>
      </c>
      <c r="K33" s="311">
        <v>0</v>
      </c>
      <c r="L33" s="314">
        <f>((K33/$B33))-1</f>
        <v>-1</v>
      </c>
      <c r="M33" s="311">
        <v>0</v>
      </c>
      <c r="N33" s="314">
        <f>((M33/$B33))-1</f>
        <v>-1</v>
      </c>
      <c r="O33" s="311">
        <v>0</v>
      </c>
      <c r="P33" s="314">
        <f>((O33/$B33))-1</f>
        <v>-1</v>
      </c>
      <c r="Q33" s="313">
        <f>K33+M33+O33</f>
        <v>0</v>
      </c>
      <c r="R33" s="318">
        <f>((Q33/(3*$B33)))-1</f>
        <v>-1</v>
      </c>
    </row>
    <row r="34" spans="1:18" ht="15.75" thickBot="1" x14ac:dyDescent="0.3">
      <c r="A34" s="324" t="s">
        <v>255</v>
      </c>
      <c r="B34" s="335">
        <v>660</v>
      </c>
      <c r="C34" s="311">
        <v>348</v>
      </c>
      <c r="D34" s="314">
        <f t="shared" ref="D34" si="31">((C34/$B34))-1</f>
        <v>-0.47272727272727277</v>
      </c>
      <c r="E34" s="311">
        <v>238</v>
      </c>
      <c r="F34" s="314">
        <f t="shared" ref="F34" si="32">((E34/$B34))-1</f>
        <v>-0.6393939393939394</v>
      </c>
      <c r="G34" s="311">
        <v>396</v>
      </c>
      <c r="H34" s="314">
        <f t="shared" ref="H34" si="33">((G34/$B34))-1</f>
        <v>-0.4</v>
      </c>
      <c r="I34" s="313">
        <f t="shared" ref="I34" si="34">C34+E34+G34</f>
        <v>982</v>
      </c>
      <c r="J34" s="318">
        <f t="shared" ref="J34" si="35">((I34/(3*$B34)))-1</f>
        <v>-0.50404040404040407</v>
      </c>
      <c r="K34" s="311">
        <v>350</v>
      </c>
      <c r="L34" s="314">
        <f t="shared" ref="L34" si="36">((K34/$B34))-1</f>
        <v>-0.46969696969696972</v>
      </c>
      <c r="M34" s="311">
        <v>341</v>
      </c>
      <c r="N34" s="314">
        <f t="shared" ref="N34" si="37">((M34/$B34))-1</f>
        <v>-0.48333333333333328</v>
      </c>
      <c r="O34" s="311">
        <v>321</v>
      </c>
      <c r="P34" s="314">
        <f t="shared" ref="P34" si="38">((O34/$B34))-1</f>
        <v>-0.51363636363636367</v>
      </c>
      <c r="Q34" s="313">
        <f t="shared" ref="Q34" si="39">K34+M34+O34</f>
        <v>1012</v>
      </c>
      <c r="R34" s="318">
        <f t="shared" ref="R34" si="40">((Q34/(3*$B34)))-1</f>
        <v>-0.48888888888888893</v>
      </c>
    </row>
    <row r="35" spans="1:18" ht="15.75" thickBot="1" x14ac:dyDescent="0.3">
      <c r="A35" s="50" t="s">
        <v>2</v>
      </c>
      <c r="B35" s="370">
        <f>SUM(B33:B34)</f>
        <v>1228</v>
      </c>
      <c r="C35" s="54">
        <f>SUM(C33:C34)</f>
        <v>348</v>
      </c>
      <c r="D35" s="59">
        <f>((C35/$B35))-1</f>
        <v>-0.71661237785016285</v>
      </c>
      <c r="E35" s="54">
        <f>SUM(E33:E34)</f>
        <v>238</v>
      </c>
      <c r="F35" s="59">
        <f>((E35/$B35))-1</f>
        <v>-0.80618892508143325</v>
      </c>
      <c r="G35" s="54">
        <f>SUM(G33:G34)</f>
        <v>396</v>
      </c>
      <c r="H35" s="371">
        <f>((G35/$B35))-1</f>
        <v>-0.67752442996742679</v>
      </c>
      <c r="I35" s="372">
        <f>C35+E35+G35</f>
        <v>982</v>
      </c>
      <c r="J35" s="373">
        <f>((I35/(3*$B35)))-1</f>
        <v>-0.73344191096634093</v>
      </c>
      <c r="K35" s="54">
        <f>SUM(K33:K34)</f>
        <v>350</v>
      </c>
      <c r="L35" s="59">
        <f>((K35/$B35))-1</f>
        <v>-0.71498371335504884</v>
      </c>
      <c r="M35" s="54">
        <f>SUM(M33:M34)</f>
        <v>341</v>
      </c>
      <c r="N35" s="59">
        <f>((M35/$B35))-1</f>
        <v>-0.72231270358306188</v>
      </c>
      <c r="O35" s="54">
        <f>SUM(O33:O34)</f>
        <v>321</v>
      </c>
      <c r="P35" s="371">
        <f>((O35/$B35))-1</f>
        <v>-0.73859934853420195</v>
      </c>
      <c r="Q35" s="372">
        <f>K35+M35+O35</f>
        <v>1012</v>
      </c>
      <c r="R35" s="373">
        <f>((Q35/(3*$B35)))-1</f>
        <v>-0.72529858849077089</v>
      </c>
    </row>
    <row r="37" spans="1:18" ht="15.75" hidden="1" x14ac:dyDescent="0.25">
      <c r="A37" s="801" t="s">
        <v>356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</row>
    <row r="38" spans="1:18" ht="24.75" hidden="1" thickBot="1" x14ac:dyDescent="0.3">
      <c r="A38" s="93" t="s">
        <v>8</v>
      </c>
      <c r="B38" s="94" t="s">
        <v>9</v>
      </c>
      <c r="C38" s="122" t="str">
        <f t="shared" ref="C38:R38" si="41">C32</f>
        <v>JAN</v>
      </c>
      <c r="D38" s="123" t="str">
        <f t="shared" si="41"/>
        <v>%</v>
      </c>
      <c r="E38" s="122" t="str">
        <f t="shared" si="41"/>
        <v>FEV</v>
      </c>
      <c r="F38" s="123" t="str">
        <f t="shared" si="41"/>
        <v>%</v>
      </c>
      <c r="G38" s="122" t="str">
        <f t="shared" si="41"/>
        <v>MAR</v>
      </c>
      <c r="H38" s="123" t="str">
        <f t="shared" si="41"/>
        <v>%</v>
      </c>
      <c r="I38" s="124" t="str">
        <f t="shared" si="41"/>
        <v>Trimestre</v>
      </c>
      <c r="J38" s="124" t="str">
        <f t="shared" si="41"/>
        <v>%</v>
      </c>
      <c r="K38" s="122" t="str">
        <f t="shared" si="41"/>
        <v>ABR</v>
      </c>
      <c r="L38" s="123" t="str">
        <f t="shared" si="41"/>
        <v>%</v>
      </c>
      <c r="M38" s="122" t="str">
        <f t="shared" si="41"/>
        <v>MAI</v>
      </c>
      <c r="N38" s="123" t="str">
        <f t="shared" si="41"/>
        <v>%</v>
      </c>
      <c r="O38" s="122" t="str">
        <f t="shared" si="41"/>
        <v>JUN</v>
      </c>
      <c r="P38" s="123" t="str">
        <f t="shared" si="41"/>
        <v>%</v>
      </c>
      <c r="Q38" s="124" t="str">
        <f t="shared" si="41"/>
        <v>Trimestre</v>
      </c>
      <c r="R38" s="124" t="str">
        <f t="shared" si="41"/>
        <v>%</v>
      </c>
    </row>
    <row r="39" spans="1:18" ht="15.75" hidden="1" thickTop="1" x14ac:dyDescent="0.25">
      <c r="A39" s="310" t="s">
        <v>172</v>
      </c>
      <c r="B39" s="315">
        <v>18</v>
      </c>
      <c r="C39" s="311">
        <v>18</v>
      </c>
      <c r="D39" s="314">
        <f>((C39/$B39))-1</f>
        <v>0</v>
      </c>
      <c r="E39" s="311">
        <v>18</v>
      </c>
      <c r="F39" s="314">
        <f t="shared" ref="F39:F41" si="42">((E39/$B39))-1</f>
        <v>0</v>
      </c>
      <c r="G39" s="311">
        <v>18</v>
      </c>
      <c r="H39" s="314">
        <f t="shared" ref="H39:H41" si="43">((G39/$B39))-1</f>
        <v>0</v>
      </c>
      <c r="I39" s="313">
        <f t="shared" ref="I39:I41" si="44">C39+E39+G39</f>
        <v>54</v>
      </c>
      <c r="J39" s="318">
        <f t="shared" ref="J39:J41" si="45">((I39/(3*$B39)))-1</f>
        <v>0</v>
      </c>
      <c r="K39" s="311">
        <v>18</v>
      </c>
      <c r="L39" s="314">
        <f t="shared" ref="L39:L41" si="46">((K39/$B39))-1</f>
        <v>0</v>
      </c>
      <c r="M39" s="311">
        <v>18</v>
      </c>
      <c r="N39" s="314">
        <f t="shared" ref="N39:N41" si="47">((M39/$B39))-1</f>
        <v>0</v>
      </c>
      <c r="O39" s="311">
        <v>18</v>
      </c>
      <c r="P39" s="314">
        <f t="shared" ref="P39:P41" si="48">((O39/$B39))-1</f>
        <v>0</v>
      </c>
      <c r="Q39" s="313">
        <f t="shared" ref="Q39:Q41" si="49">K39+M39+O39</f>
        <v>54</v>
      </c>
      <c r="R39" s="318">
        <f t="shared" ref="R39:R41" si="50">((Q39/(3*$B39)))-1</f>
        <v>0</v>
      </c>
    </row>
    <row r="40" spans="1:18" ht="15.75" hidden="1" thickBot="1" x14ac:dyDescent="0.3">
      <c r="A40" s="323" t="s">
        <v>162</v>
      </c>
      <c r="B40" s="397">
        <v>12</v>
      </c>
      <c r="C40" s="329">
        <v>12</v>
      </c>
      <c r="D40" s="330">
        <f t="shared" ref="D40:D41" si="51">((C40/$B40))-1</f>
        <v>0</v>
      </c>
      <c r="E40" s="329">
        <v>12</v>
      </c>
      <c r="F40" s="330">
        <f t="shared" si="42"/>
        <v>0</v>
      </c>
      <c r="G40" s="329">
        <v>11</v>
      </c>
      <c r="H40" s="330">
        <f t="shared" si="43"/>
        <v>-8.333333333333337E-2</v>
      </c>
      <c r="I40" s="331">
        <f t="shared" si="44"/>
        <v>35</v>
      </c>
      <c r="J40" s="332">
        <f t="shared" si="45"/>
        <v>-2.777777777777779E-2</v>
      </c>
      <c r="K40" s="329">
        <v>12</v>
      </c>
      <c r="L40" s="330">
        <f t="shared" si="46"/>
        <v>0</v>
      </c>
      <c r="M40" s="329">
        <v>12</v>
      </c>
      <c r="N40" s="330">
        <f t="shared" si="47"/>
        <v>0</v>
      </c>
      <c r="O40" s="329">
        <v>12</v>
      </c>
      <c r="P40" s="330">
        <f t="shared" si="48"/>
        <v>0</v>
      </c>
      <c r="Q40" s="331">
        <f t="shared" si="49"/>
        <v>36</v>
      </c>
      <c r="R40" s="332">
        <f t="shared" si="50"/>
        <v>0</v>
      </c>
    </row>
    <row r="41" spans="1:18" ht="15.75" hidden="1" thickBot="1" x14ac:dyDescent="0.3">
      <c r="A41" s="50" t="s">
        <v>2</v>
      </c>
      <c r="B41" s="52">
        <f>SUM(B39:B40)</f>
        <v>30</v>
      </c>
      <c r="C41" s="54">
        <f>SUM(C39:C40)</f>
        <v>30</v>
      </c>
      <c r="D41" s="59">
        <f t="shared" si="51"/>
        <v>0</v>
      </c>
      <c r="E41" s="54">
        <f>SUM(E39:E40)</f>
        <v>30</v>
      </c>
      <c r="F41" s="59">
        <f t="shared" si="42"/>
        <v>0</v>
      </c>
      <c r="G41" s="54">
        <f>SUM(G39:G40)</f>
        <v>29</v>
      </c>
      <c r="H41" s="59">
        <f t="shared" si="43"/>
        <v>-3.3333333333333326E-2</v>
      </c>
      <c r="I41" s="53">
        <f t="shared" si="44"/>
        <v>89</v>
      </c>
      <c r="J41" s="60">
        <f t="shared" si="45"/>
        <v>-1.1111111111111072E-2</v>
      </c>
      <c r="K41" s="54">
        <f>SUM(K39:K40)</f>
        <v>30</v>
      </c>
      <c r="L41" s="59">
        <f t="shared" si="46"/>
        <v>0</v>
      </c>
      <c r="M41" s="54">
        <f>SUM(M39:M40)</f>
        <v>30</v>
      </c>
      <c r="N41" s="59">
        <f t="shared" si="47"/>
        <v>0</v>
      </c>
      <c r="O41" s="54">
        <f>SUM(O39:O40)</f>
        <v>30</v>
      </c>
      <c r="P41" s="59">
        <f t="shared" si="48"/>
        <v>0</v>
      </c>
      <c r="Q41" s="53">
        <f t="shared" si="49"/>
        <v>90</v>
      </c>
      <c r="R41" s="398">
        <f t="shared" si="50"/>
        <v>0</v>
      </c>
    </row>
  </sheetData>
  <mergeCells count="6">
    <mergeCell ref="A37:R37"/>
    <mergeCell ref="A31:R31"/>
    <mergeCell ref="A5:R5"/>
    <mergeCell ref="A16:R16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5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7478-5443-43C9-B0F5-79DBDC791C21}">
  <sheetPr>
    <tabColor rgb="FFC00000"/>
    <pageSetUpPr fitToPage="1"/>
  </sheetPr>
  <dimension ref="A2:R4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4.7109375" customWidth="1"/>
    <col min="2" max="2" width="9" bestFit="1" customWidth="1"/>
    <col min="3" max="3" width="9" style="23" bestFit="1" customWidth="1"/>
    <col min="4" max="4" width="8.5703125" customWidth="1"/>
    <col min="5" max="5" width="9" bestFit="1" customWidth="1"/>
    <col min="6" max="6" width="8.5703125" customWidth="1"/>
    <col min="7" max="7" width="9" bestFit="1" customWidth="1"/>
    <col min="8" max="8" width="10.140625" bestFit="1" customWidth="1"/>
    <col min="9" max="9" width="9.28515625" customWidth="1"/>
    <col min="10" max="10" width="10.140625" bestFit="1" customWidth="1"/>
    <col min="11" max="11" width="9" bestFit="1" customWidth="1"/>
    <col min="12" max="12" width="10.140625" bestFit="1" customWidth="1"/>
    <col min="13" max="13" width="9" bestFit="1" customWidth="1"/>
    <col min="14" max="14" width="8.42578125" customWidth="1"/>
    <col min="15" max="15" width="9" bestFit="1" customWidth="1"/>
    <col min="16" max="16" width="8.140625" customWidth="1"/>
    <col min="17" max="17" width="9.28515625" customWidth="1"/>
    <col min="18" max="18" width="8.2851562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353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121" t="s">
        <v>9</v>
      </c>
      <c r="C6" s="122" t="s">
        <v>382</v>
      </c>
      <c r="D6" s="123" t="str">
        <f>'UBS Vila Dalva 2º SEM'!D6</f>
        <v>%</v>
      </c>
      <c r="E6" s="122" t="s">
        <v>381</v>
      </c>
      <c r="F6" s="123" t="str">
        <f>'UBS Vila Dalva 2º SEM'!F6</f>
        <v>%</v>
      </c>
      <c r="G6" s="122" t="s">
        <v>380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">
        <v>379</v>
      </c>
      <c r="L6" s="123" t="str">
        <f>'UBS Vila Dalva 2º SEM'!L6</f>
        <v>%</v>
      </c>
      <c r="M6" s="122" t="s">
        <v>378</v>
      </c>
      <c r="N6" s="123" t="str">
        <f>'UBS Vila Dalva 2º SEM'!N6</f>
        <v>%</v>
      </c>
      <c r="O6" s="122" t="s">
        <v>377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24.75" thickTop="1" x14ac:dyDescent="0.25">
      <c r="A7" s="851" t="s">
        <v>3</v>
      </c>
      <c r="B7" s="741">
        <v>576</v>
      </c>
      <c r="C7" s="204">
        <v>594</v>
      </c>
      <c r="D7" s="209">
        <f t="shared" ref="D7:D13" si="0">((C7/$B7))-1</f>
        <v>3.125E-2</v>
      </c>
      <c r="E7" s="204">
        <v>716</v>
      </c>
      <c r="F7" s="209">
        <f t="shared" ref="F7:F13" si="1">((E7/$B7))-1</f>
        <v>0.24305555555555558</v>
      </c>
      <c r="G7" s="204">
        <v>464</v>
      </c>
      <c r="H7" s="209">
        <f t="shared" ref="H7:H13" si="2">((G7/$B7))-1</f>
        <v>-0.19444444444444442</v>
      </c>
      <c r="I7" s="210">
        <f t="shared" ref="I7:I13" si="3">C7+E7+G7</f>
        <v>1774</v>
      </c>
      <c r="J7" s="211">
        <f t="shared" ref="J7:J13" si="4">((I7/(3*$B7)))-1</f>
        <v>2.6620370370370461E-2</v>
      </c>
      <c r="K7" s="204">
        <v>525</v>
      </c>
      <c r="L7" s="209">
        <f t="shared" ref="L7:L13" si="5">((K7/$B7))-1</f>
        <v>-8.854166666666663E-2</v>
      </c>
      <c r="M7" s="204">
        <v>436</v>
      </c>
      <c r="N7" s="209">
        <f t="shared" ref="N7:N13" si="6">((M7/$B7))-1</f>
        <v>-0.24305555555555558</v>
      </c>
      <c r="O7" s="204">
        <v>371</v>
      </c>
      <c r="P7" s="209">
        <f t="shared" ref="P7:P13" si="7">((O7/$B7))-1</f>
        <v>-0.35590277777777779</v>
      </c>
      <c r="Q7" s="210">
        <f t="shared" ref="Q7:Q13" si="8">K7+M7+O7</f>
        <v>1332</v>
      </c>
      <c r="R7" s="211">
        <f t="shared" ref="R7:R13" si="9">((Q7/(3*$B7)))-1</f>
        <v>-0.22916666666666663</v>
      </c>
    </row>
    <row r="8" spans="1:18" x14ac:dyDescent="0.25">
      <c r="A8" s="851" t="s">
        <v>4</v>
      </c>
      <c r="B8" s="738">
        <v>2016</v>
      </c>
      <c r="C8" s="736">
        <v>1234</v>
      </c>
      <c r="D8" s="209">
        <f t="shared" si="0"/>
        <v>-0.38789682539682535</v>
      </c>
      <c r="E8" s="736">
        <v>1851</v>
      </c>
      <c r="F8" s="209">
        <f t="shared" si="1"/>
        <v>-8.1845238095238138E-2</v>
      </c>
      <c r="G8" s="736">
        <v>1197</v>
      </c>
      <c r="H8" s="209">
        <f t="shared" si="2"/>
        <v>-0.40625</v>
      </c>
      <c r="I8" s="210">
        <f t="shared" si="3"/>
        <v>4282</v>
      </c>
      <c r="J8" s="211">
        <f t="shared" si="4"/>
        <v>-0.29199735449735453</v>
      </c>
      <c r="K8" s="736">
        <v>1989</v>
      </c>
      <c r="L8" s="209">
        <f t="shared" si="5"/>
        <v>-1.3392857142857095E-2</v>
      </c>
      <c r="M8" s="736">
        <v>1584</v>
      </c>
      <c r="N8" s="209">
        <f t="shared" si="6"/>
        <v>-0.2142857142857143</v>
      </c>
      <c r="O8" s="736">
        <v>1189</v>
      </c>
      <c r="P8" s="209">
        <f t="shared" si="7"/>
        <v>-0.41021825396825395</v>
      </c>
      <c r="Q8" s="210">
        <f t="shared" si="8"/>
        <v>4762</v>
      </c>
      <c r="R8" s="211">
        <f t="shared" si="9"/>
        <v>-0.21263227513227512</v>
      </c>
    </row>
    <row r="9" spans="1:18" x14ac:dyDescent="0.25">
      <c r="A9" s="117" t="s">
        <v>5</v>
      </c>
      <c r="B9" s="738">
        <v>1578</v>
      </c>
      <c r="C9" s="736">
        <v>1202</v>
      </c>
      <c r="D9" s="209">
        <f t="shared" si="0"/>
        <v>-0.23827629911280102</v>
      </c>
      <c r="E9" s="736">
        <v>1483</v>
      </c>
      <c r="F9" s="209">
        <f t="shared" si="1"/>
        <v>-6.0202788339670521E-2</v>
      </c>
      <c r="G9" s="736">
        <v>1329</v>
      </c>
      <c r="H9" s="209">
        <f t="shared" si="2"/>
        <v>-0.15779467680608361</v>
      </c>
      <c r="I9" s="210">
        <f t="shared" si="3"/>
        <v>4014</v>
      </c>
      <c r="J9" s="211">
        <f t="shared" si="4"/>
        <v>-0.15209125475285168</v>
      </c>
      <c r="K9" s="736">
        <v>1359</v>
      </c>
      <c r="L9" s="209">
        <f t="shared" si="5"/>
        <v>-0.13878326996197721</v>
      </c>
      <c r="M9" s="736">
        <v>1329</v>
      </c>
      <c r="N9" s="209">
        <f t="shared" si="6"/>
        <v>-0.15779467680608361</v>
      </c>
      <c r="O9" s="736">
        <v>1660</v>
      </c>
      <c r="P9" s="209">
        <f t="shared" si="7"/>
        <v>5.1964512040557631E-2</v>
      </c>
      <c r="Q9" s="210">
        <f t="shared" si="8"/>
        <v>4348</v>
      </c>
      <c r="R9" s="211">
        <f t="shared" si="9"/>
        <v>-8.1537811575834396E-2</v>
      </c>
    </row>
    <row r="10" spans="1:18" x14ac:dyDescent="0.25">
      <c r="A10" s="117" t="s">
        <v>7</v>
      </c>
      <c r="B10" s="738">
        <v>1052</v>
      </c>
      <c r="C10" s="736">
        <v>999</v>
      </c>
      <c r="D10" s="209">
        <f t="shared" si="0"/>
        <v>-5.0380228136882144E-2</v>
      </c>
      <c r="E10" s="736">
        <v>1183</v>
      </c>
      <c r="F10" s="209">
        <f t="shared" si="1"/>
        <v>0.12452471482889726</v>
      </c>
      <c r="G10" s="736">
        <v>982</v>
      </c>
      <c r="H10" s="209">
        <f t="shared" si="2"/>
        <v>-6.6539923954372582E-2</v>
      </c>
      <c r="I10" s="210">
        <f t="shared" si="3"/>
        <v>3164</v>
      </c>
      <c r="J10" s="211">
        <f t="shared" si="4"/>
        <v>2.5348542458809575E-3</v>
      </c>
      <c r="K10" s="736">
        <v>920</v>
      </c>
      <c r="L10" s="209">
        <f t="shared" si="5"/>
        <v>-0.12547528517110262</v>
      </c>
      <c r="M10" s="736">
        <v>867</v>
      </c>
      <c r="N10" s="209">
        <f t="shared" si="6"/>
        <v>-0.17585551330798477</v>
      </c>
      <c r="O10" s="736">
        <v>639</v>
      </c>
      <c r="P10" s="209">
        <f t="shared" si="7"/>
        <v>-0.39258555133079853</v>
      </c>
      <c r="Q10" s="210">
        <f t="shared" si="8"/>
        <v>2426</v>
      </c>
      <c r="R10" s="211">
        <f t="shared" si="9"/>
        <v>-0.2313054499366286</v>
      </c>
    </row>
    <row r="11" spans="1:18" x14ac:dyDescent="0.25">
      <c r="A11" s="384" t="s">
        <v>15</v>
      </c>
      <c r="B11" s="752">
        <v>789</v>
      </c>
      <c r="C11" s="456">
        <v>502</v>
      </c>
      <c r="D11" s="728">
        <f t="shared" si="0"/>
        <v>-0.36375158428390364</v>
      </c>
      <c r="E11" s="456">
        <v>605</v>
      </c>
      <c r="F11" s="728">
        <f t="shared" si="1"/>
        <v>-0.23320659062103932</v>
      </c>
      <c r="G11" s="456">
        <v>595</v>
      </c>
      <c r="H11" s="728">
        <f t="shared" si="2"/>
        <v>-0.24588086185044356</v>
      </c>
      <c r="I11" s="210">
        <f t="shared" si="3"/>
        <v>1702</v>
      </c>
      <c r="J11" s="730">
        <f t="shared" si="4"/>
        <v>-0.28094634558512888</v>
      </c>
      <c r="K11" s="456">
        <v>375</v>
      </c>
      <c r="L11" s="728">
        <f t="shared" si="5"/>
        <v>-0.52471482889733845</v>
      </c>
      <c r="M11" s="456">
        <v>613</v>
      </c>
      <c r="N11" s="728">
        <f t="shared" si="6"/>
        <v>-0.22306717363751583</v>
      </c>
      <c r="O11" s="456">
        <v>629</v>
      </c>
      <c r="P11" s="728">
        <f t="shared" si="7"/>
        <v>-0.20278833967046894</v>
      </c>
      <c r="Q11" s="210">
        <f t="shared" si="8"/>
        <v>1617</v>
      </c>
      <c r="R11" s="730">
        <f t="shared" si="9"/>
        <v>-0.3168567807351077</v>
      </c>
    </row>
    <row r="12" spans="1:18" ht="15.75" thickBot="1" x14ac:dyDescent="0.3">
      <c r="A12" s="767" t="s">
        <v>6</v>
      </c>
      <c r="B12" s="772">
        <v>332</v>
      </c>
      <c r="C12" s="376">
        <v>281</v>
      </c>
      <c r="D12" s="771">
        <f t="shared" si="0"/>
        <v>-0.15361445783132532</v>
      </c>
      <c r="E12" s="376">
        <v>285</v>
      </c>
      <c r="F12" s="771">
        <f t="shared" si="1"/>
        <v>-0.14156626506024095</v>
      </c>
      <c r="G12" s="376">
        <v>269</v>
      </c>
      <c r="H12" s="771">
        <f t="shared" si="2"/>
        <v>-0.18975903614457834</v>
      </c>
      <c r="I12" s="729">
        <f t="shared" si="3"/>
        <v>835</v>
      </c>
      <c r="J12" s="193">
        <f t="shared" si="4"/>
        <v>-0.16164658634538154</v>
      </c>
      <c r="K12" s="376">
        <v>275</v>
      </c>
      <c r="L12" s="771">
        <f t="shared" si="5"/>
        <v>-0.17168674698795183</v>
      </c>
      <c r="M12" s="376">
        <v>215</v>
      </c>
      <c r="N12" s="771">
        <f t="shared" si="6"/>
        <v>-0.35240963855421692</v>
      </c>
      <c r="O12" s="376">
        <v>193</v>
      </c>
      <c r="P12" s="771">
        <f t="shared" si="7"/>
        <v>-0.41867469879518071</v>
      </c>
      <c r="Q12" s="729">
        <f t="shared" si="8"/>
        <v>683</v>
      </c>
      <c r="R12" s="193">
        <f t="shared" si="9"/>
        <v>-0.31425702811244982</v>
      </c>
    </row>
    <row r="13" spans="1:18" ht="15.75" thickBot="1" x14ac:dyDescent="0.3">
      <c r="A13" s="50" t="s">
        <v>2</v>
      </c>
      <c r="B13" s="52">
        <f>SUM(B7:B12)</f>
        <v>6343</v>
      </c>
      <c r="C13" s="54">
        <f>SUM(C7:C12)</f>
        <v>4812</v>
      </c>
      <c r="D13" s="59">
        <f t="shared" si="0"/>
        <v>-0.24136843764780069</v>
      </c>
      <c r="E13" s="54">
        <f>SUM(E7:E12)</f>
        <v>6123</v>
      </c>
      <c r="F13" s="59">
        <f t="shared" si="1"/>
        <v>-3.468390351568662E-2</v>
      </c>
      <c r="G13" s="54">
        <f>SUM(G7:G12)</f>
        <v>4836</v>
      </c>
      <c r="H13" s="59">
        <f t="shared" si="2"/>
        <v>-0.23758473908245314</v>
      </c>
      <c r="I13" s="53">
        <f t="shared" si="3"/>
        <v>15771</v>
      </c>
      <c r="J13" s="300">
        <f t="shared" si="4"/>
        <v>-0.17121236008198015</v>
      </c>
      <c r="K13" s="54">
        <f>SUM(K7:K12)</f>
        <v>5443</v>
      </c>
      <c r="L13" s="59">
        <f t="shared" si="5"/>
        <v>-0.14188869620053601</v>
      </c>
      <c r="M13" s="54">
        <f>SUM(M7:M12)</f>
        <v>5044</v>
      </c>
      <c r="N13" s="59">
        <f t="shared" si="6"/>
        <v>-0.20479268484944035</v>
      </c>
      <c r="O13" s="54">
        <f>SUM(O7:O12)</f>
        <v>4681</v>
      </c>
      <c r="P13" s="59">
        <f t="shared" si="7"/>
        <v>-0.26202112565032321</v>
      </c>
      <c r="Q13" s="53">
        <f t="shared" si="8"/>
        <v>15168</v>
      </c>
      <c r="R13" s="300">
        <f t="shared" si="9"/>
        <v>-0.20290083556676652</v>
      </c>
    </row>
    <row r="14" spans="1:18" ht="15" hidden="1" customHeight="1" x14ac:dyDescent="0.25"/>
    <row r="15" spans="1:18" ht="15" hidden="1" customHeight="1" x14ac:dyDescent="0.25"/>
    <row r="16" spans="1:18" ht="15.75" hidden="1" customHeight="1" x14ac:dyDescent="0.25">
      <c r="A16" s="803" t="s">
        <v>354</v>
      </c>
      <c r="B16" s="802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</row>
    <row r="17" spans="1:18" ht="24.75" hidden="1" customHeight="1" thickBot="1" x14ac:dyDescent="0.3">
      <c r="A17" s="120" t="s">
        <v>8</v>
      </c>
      <c r="B17" s="121" t="s">
        <v>9</v>
      </c>
      <c r="C17" s="122" t="str">
        <f>'UBS Vila Dalva 2º SEM'!C6</f>
        <v>JUL</v>
      </c>
      <c r="D17" s="123" t="str">
        <f>'UBS Vila Dalva 2º SEM'!D6</f>
        <v>%</v>
      </c>
      <c r="E17" s="122" t="str">
        <f>'UBS Vila Dalva 2º SEM'!E6</f>
        <v>AGO</v>
      </c>
      <c r="F17" s="123" t="str">
        <f>'UBS Vila Dalva 2º SEM'!F6</f>
        <v>%</v>
      </c>
      <c r="G17" s="122" t="str">
        <f>'UBS Vila Dalva 2º SEM'!G6</f>
        <v>SET</v>
      </c>
      <c r="H17" s="123" t="str">
        <f>'UBS Vila Dalva 2º SEM'!H6</f>
        <v>%</v>
      </c>
      <c r="I17" s="124" t="str">
        <f>'UBS Vila Dalva 2º SEM'!I6</f>
        <v>Trimestre</v>
      </c>
      <c r="J17" s="124" t="str">
        <f>'UBS Vila Dalva 2º SEM'!J6</f>
        <v>%</v>
      </c>
      <c r="K17" s="122" t="str">
        <f>'UBS Vila Dalva 2º SEM'!K6</f>
        <v>OUT</v>
      </c>
      <c r="L17" s="123" t="str">
        <f>'UBS Vila Dalva 2º SEM'!L6</f>
        <v>%</v>
      </c>
      <c r="M17" s="122" t="str">
        <f>'UBS Vila Dalva 2º SEM'!M6</f>
        <v>NOV</v>
      </c>
      <c r="N17" s="123" t="str">
        <f>'UBS Vila Dalva 2º SEM'!N6</f>
        <v>%</v>
      </c>
      <c r="O17" s="122" t="str">
        <f>'UBS Vila Dalva 2º SEM'!O6</f>
        <v>DEZ</v>
      </c>
      <c r="P17" s="123" t="str">
        <f>'UBS Vila Dalva 2º SEM'!P6</f>
        <v>%</v>
      </c>
      <c r="Q17" s="124" t="str">
        <f>'UBS Vila Dalva 2º SEM'!Q6</f>
        <v>Trimestre</v>
      </c>
      <c r="R17" s="124" t="str">
        <f>'UBS Vila Dalva 2º SEM'!R6</f>
        <v>%</v>
      </c>
    </row>
    <row r="18" spans="1:18" ht="15.75" hidden="1" customHeight="1" thickTop="1" x14ac:dyDescent="0.25">
      <c r="A18" s="117" t="s">
        <v>13</v>
      </c>
      <c r="B18" s="738">
        <v>6</v>
      </c>
      <c r="C18" s="769">
        <v>6</v>
      </c>
      <c r="D18" s="209">
        <f t="shared" ref="D18:D29" si="10">((C18/$B18))-1</f>
        <v>0</v>
      </c>
      <c r="E18" s="770">
        <v>6</v>
      </c>
      <c r="F18" s="209">
        <f t="shared" ref="F18:F29" si="11">((E18/$B18))-1</f>
        <v>0</v>
      </c>
      <c r="G18" s="769">
        <v>6</v>
      </c>
      <c r="H18" s="209">
        <f t="shared" ref="H18:H29" si="12">((G18/$B18))-1</f>
        <v>0</v>
      </c>
      <c r="I18" s="210">
        <f t="shared" ref="I18:I29" si="13">C18+E18+G18</f>
        <v>18</v>
      </c>
      <c r="J18" s="211">
        <f t="shared" ref="J18:J29" si="14">((I18/(3*$B18)))-1</f>
        <v>0</v>
      </c>
      <c r="K18" s="736">
        <v>6</v>
      </c>
      <c r="L18" s="209">
        <f t="shared" ref="L18:L29" si="15">((K18/$B18))-1</f>
        <v>0</v>
      </c>
      <c r="M18" s="749"/>
      <c r="N18" s="209">
        <f t="shared" ref="N18:N29" si="16">((M18/$B18))-1</f>
        <v>-1</v>
      </c>
      <c r="O18" s="749"/>
      <c r="P18" s="209">
        <f t="shared" ref="P18:P29" si="17">((O18/$B18))-1</f>
        <v>-1</v>
      </c>
      <c r="Q18" s="210">
        <f t="shared" ref="Q18:Q29" si="18">K18+M18+O18</f>
        <v>6</v>
      </c>
      <c r="R18" s="211">
        <f t="shared" ref="R18:R29" si="19">((Q18/(3*$B18)))-1</f>
        <v>-0.66666666666666674</v>
      </c>
    </row>
    <row r="19" spans="1:18" ht="15" hidden="1" customHeight="1" x14ac:dyDescent="0.25">
      <c r="A19" s="117" t="s">
        <v>282</v>
      </c>
      <c r="B19" s="738">
        <v>6</v>
      </c>
      <c r="C19" s="736">
        <v>6</v>
      </c>
      <c r="D19" s="209">
        <f t="shared" si="10"/>
        <v>0</v>
      </c>
      <c r="E19" s="736">
        <v>6</v>
      </c>
      <c r="F19" s="209">
        <f t="shared" si="11"/>
        <v>0</v>
      </c>
      <c r="G19" s="750">
        <v>6</v>
      </c>
      <c r="H19" s="209">
        <f t="shared" si="12"/>
        <v>0</v>
      </c>
      <c r="I19" s="210">
        <f t="shared" si="13"/>
        <v>18</v>
      </c>
      <c r="J19" s="211">
        <f t="shared" si="14"/>
        <v>0</v>
      </c>
      <c r="K19" s="736">
        <v>6</v>
      </c>
      <c r="L19" s="209">
        <f t="shared" si="15"/>
        <v>0</v>
      </c>
      <c r="M19" s="736"/>
      <c r="N19" s="209">
        <f t="shared" si="16"/>
        <v>-1</v>
      </c>
      <c r="O19" s="736"/>
      <c r="P19" s="209">
        <f t="shared" si="17"/>
        <v>-1</v>
      </c>
      <c r="Q19" s="210">
        <f t="shared" si="18"/>
        <v>6</v>
      </c>
      <c r="R19" s="211">
        <f t="shared" si="19"/>
        <v>-0.66666666666666674</v>
      </c>
    </row>
    <row r="20" spans="1:18" ht="15" hidden="1" customHeight="1" x14ac:dyDescent="0.25">
      <c r="A20" s="117" t="s">
        <v>197</v>
      </c>
      <c r="B20" s="738">
        <v>4</v>
      </c>
      <c r="C20" s="750">
        <v>4</v>
      </c>
      <c r="D20" s="209">
        <f t="shared" si="10"/>
        <v>0</v>
      </c>
      <c r="E20" s="736">
        <v>4</v>
      </c>
      <c r="F20" s="209">
        <f t="shared" si="11"/>
        <v>0</v>
      </c>
      <c r="G20" s="750">
        <v>4</v>
      </c>
      <c r="H20" s="209">
        <f t="shared" si="12"/>
        <v>0</v>
      </c>
      <c r="I20" s="210">
        <f t="shared" si="13"/>
        <v>12</v>
      </c>
      <c r="J20" s="211">
        <f t="shared" si="14"/>
        <v>0</v>
      </c>
      <c r="K20" s="736">
        <v>4</v>
      </c>
      <c r="L20" s="209">
        <f t="shared" si="15"/>
        <v>0</v>
      </c>
      <c r="M20" s="768"/>
      <c r="N20" s="209">
        <f t="shared" si="16"/>
        <v>-1</v>
      </c>
      <c r="O20" s="736"/>
      <c r="P20" s="209">
        <f t="shared" si="17"/>
        <v>-1</v>
      </c>
      <c r="Q20" s="210">
        <f t="shared" si="18"/>
        <v>4</v>
      </c>
      <c r="R20" s="211">
        <f t="shared" si="19"/>
        <v>-0.66666666666666674</v>
      </c>
    </row>
    <row r="21" spans="1:18" ht="15" hidden="1" customHeight="1" x14ac:dyDescent="0.25">
      <c r="A21" s="384" t="s">
        <v>198</v>
      </c>
      <c r="B21" s="738">
        <v>3</v>
      </c>
      <c r="C21" s="736">
        <v>3</v>
      </c>
      <c r="D21" s="209">
        <f t="shared" si="10"/>
        <v>0</v>
      </c>
      <c r="E21" s="736">
        <v>3</v>
      </c>
      <c r="F21" s="209">
        <f t="shared" si="11"/>
        <v>0</v>
      </c>
      <c r="G21" s="750">
        <v>3</v>
      </c>
      <c r="H21" s="209">
        <f t="shared" si="12"/>
        <v>0</v>
      </c>
      <c r="I21" s="210">
        <f t="shared" si="13"/>
        <v>9</v>
      </c>
      <c r="J21" s="211">
        <f t="shared" si="14"/>
        <v>0</v>
      </c>
      <c r="K21" s="736">
        <v>3</v>
      </c>
      <c r="L21" s="209">
        <f t="shared" si="15"/>
        <v>0</v>
      </c>
      <c r="M21" s="736"/>
      <c r="N21" s="209">
        <f t="shared" si="16"/>
        <v>-1</v>
      </c>
      <c r="O21" s="736"/>
      <c r="P21" s="209">
        <f t="shared" si="17"/>
        <v>-1</v>
      </c>
      <c r="Q21" s="210">
        <f t="shared" si="18"/>
        <v>3</v>
      </c>
      <c r="R21" s="211">
        <f t="shared" si="19"/>
        <v>-0.66666666666666674</v>
      </c>
    </row>
    <row r="22" spans="1:18" ht="15" hidden="1" customHeight="1" x14ac:dyDescent="0.25">
      <c r="A22" s="767" t="s">
        <v>259</v>
      </c>
      <c r="B22" s="738">
        <v>2</v>
      </c>
      <c r="C22" s="736">
        <v>2</v>
      </c>
      <c r="D22" s="209">
        <f t="shared" si="10"/>
        <v>0</v>
      </c>
      <c r="E22" s="736">
        <v>2</v>
      </c>
      <c r="F22" s="209">
        <f t="shared" si="11"/>
        <v>0</v>
      </c>
      <c r="G22" s="750">
        <v>2</v>
      </c>
      <c r="H22" s="209">
        <f t="shared" si="12"/>
        <v>0</v>
      </c>
      <c r="I22" s="210">
        <f t="shared" si="13"/>
        <v>6</v>
      </c>
      <c r="J22" s="211">
        <f t="shared" si="14"/>
        <v>0</v>
      </c>
      <c r="K22" s="736">
        <v>2</v>
      </c>
      <c r="L22" s="209">
        <f t="shared" si="15"/>
        <v>0</v>
      </c>
      <c r="M22" s="736"/>
      <c r="N22" s="209">
        <f t="shared" si="16"/>
        <v>-1</v>
      </c>
      <c r="O22" s="736"/>
      <c r="P22" s="209">
        <f t="shared" si="17"/>
        <v>-1</v>
      </c>
      <c r="Q22" s="210">
        <f t="shared" si="18"/>
        <v>2</v>
      </c>
      <c r="R22" s="211">
        <f t="shared" si="19"/>
        <v>-0.66666666666666674</v>
      </c>
    </row>
    <row r="23" spans="1:18" ht="15" hidden="1" customHeight="1" x14ac:dyDescent="0.25">
      <c r="A23" s="766" t="s">
        <v>184</v>
      </c>
      <c r="B23" s="765">
        <v>2</v>
      </c>
      <c r="C23" s="736">
        <v>2</v>
      </c>
      <c r="D23" s="209">
        <f t="shared" si="10"/>
        <v>0</v>
      </c>
      <c r="E23" s="736">
        <v>2</v>
      </c>
      <c r="F23" s="209">
        <f t="shared" si="11"/>
        <v>0</v>
      </c>
      <c r="G23" s="750">
        <v>2</v>
      </c>
      <c r="H23" s="209">
        <f t="shared" si="12"/>
        <v>0</v>
      </c>
      <c r="I23" s="210">
        <f t="shared" si="13"/>
        <v>6</v>
      </c>
      <c r="J23" s="211">
        <f t="shared" si="14"/>
        <v>0</v>
      </c>
      <c r="K23" s="736">
        <v>2</v>
      </c>
      <c r="L23" s="209">
        <f t="shared" si="15"/>
        <v>0</v>
      </c>
      <c r="M23" s="736"/>
      <c r="N23" s="209">
        <f t="shared" si="16"/>
        <v>-1</v>
      </c>
      <c r="O23" s="736"/>
      <c r="P23" s="209">
        <f t="shared" si="17"/>
        <v>-1</v>
      </c>
      <c r="Q23" s="210">
        <f t="shared" si="18"/>
        <v>2</v>
      </c>
      <c r="R23" s="211">
        <f t="shared" si="19"/>
        <v>-0.66666666666666674</v>
      </c>
    </row>
    <row r="24" spans="1:18" ht="15" hidden="1" customHeight="1" x14ac:dyDescent="0.25">
      <c r="A24" s="766" t="s">
        <v>145</v>
      </c>
      <c r="B24" s="765">
        <v>7</v>
      </c>
      <c r="C24" s="736">
        <v>7</v>
      </c>
      <c r="D24" s="209">
        <f t="shared" si="10"/>
        <v>0</v>
      </c>
      <c r="E24" s="736">
        <v>7</v>
      </c>
      <c r="F24" s="209">
        <f t="shared" si="11"/>
        <v>0</v>
      </c>
      <c r="G24" s="750">
        <v>7</v>
      </c>
      <c r="H24" s="209">
        <f t="shared" si="12"/>
        <v>0</v>
      </c>
      <c r="I24" s="210">
        <f t="shared" si="13"/>
        <v>21</v>
      </c>
      <c r="J24" s="211">
        <f t="shared" si="14"/>
        <v>0</v>
      </c>
      <c r="K24" s="736">
        <v>7</v>
      </c>
      <c r="L24" s="209">
        <f t="shared" si="15"/>
        <v>0</v>
      </c>
      <c r="M24" s="736"/>
      <c r="N24" s="209">
        <f t="shared" si="16"/>
        <v>-1</v>
      </c>
      <c r="O24" s="736"/>
      <c r="P24" s="209">
        <f t="shared" si="17"/>
        <v>-1</v>
      </c>
      <c r="Q24" s="210">
        <f t="shared" si="18"/>
        <v>7</v>
      </c>
      <c r="R24" s="211">
        <f t="shared" si="19"/>
        <v>-0.66666666666666674</v>
      </c>
    </row>
    <row r="25" spans="1:18" ht="15" hidden="1" customHeight="1" x14ac:dyDescent="0.25">
      <c r="A25" s="117" t="s">
        <v>185</v>
      </c>
      <c r="B25" s="738">
        <v>2</v>
      </c>
      <c r="C25" s="736">
        <v>1</v>
      </c>
      <c r="D25" s="209">
        <f t="shared" si="10"/>
        <v>-0.5</v>
      </c>
      <c r="E25" s="736">
        <v>1</v>
      </c>
      <c r="F25" s="209">
        <f t="shared" si="11"/>
        <v>-0.5</v>
      </c>
      <c r="G25" s="750">
        <v>1</v>
      </c>
      <c r="H25" s="209">
        <f t="shared" si="12"/>
        <v>-0.5</v>
      </c>
      <c r="I25" s="210">
        <f t="shared" si="13"/>
        <v>3</v>
      </c>
      <c r="J25" s="211">
        <f t="shared" si="14"/>
        <v>-0.5</v>
      </c>
      <c r="K25" s="736">
        <v>1</v>
      </c>
      <c r="L25" s="209">
        <f t="shared" si="15"/>
        <v>-0.5</v>
      </c>
      <c r="M25" s="736"/>
      <c r="N25" s="209">
        <f t="shared" si="16"/>
        <v>-1</v>
      </c>
      <c r="O25" s="736"/>
      <c r="P25" s="209">
        <f t="shared" si="17"/>
        <v>-1</v>
      </c>
      <c r="Q25" s="210">
        <f t="shared" si="18"/>
        <v>1</v>
      </c>
      <c r="R25" s="211">
        <f t="shared" si="19"/>
        <v>-0.83333333333333337</v>
      </c>
    </row>
    <row r="26" spans="1:18" ht="15" hidden="1" customHeight="1" x14ac:dyDescent="0.25">
      <c r="A26" s="384" t="s">
        <v>187</v>
      </c>
      <c r="B26" s="752">
        <v>1</v>
      </c>
      <c r="C26" s="456">
        <v>0</v>
      </c>
      <c r="D26" s="728">
        <f t="shared" si="10"/>
        <v>-1</v>
      </c>
      <c r="E26" s="456">
        <v>0</v>
      </c>
      <c r="F26" s="728">
        <f t="shared" si="11"/>
        <v>-1</v>
      </c>
      <c r="G26" s="764">
        <v>0</v>
      </c>
      <c r="H26" s="728">
        <f t="shared" si="12"/>
        <v>-1</v>
      </c>
      <c r="I26" s="729">
        <f t="shared" si="13"/>
        <v>0</v>
      </c>
      <c r="J26" s="730">
        <f t="shared" si="14"/>
        <v>-1</v>
      </c>
      <c r="K26" s="456">
        <v>0</v>
      </c>
      <c r="L26" s="728">
        <f t="shared" si="15"/>
        <v>-1</v>
      </c>
      <c r="M26" s="456"/>
      <c r="N26" s="728">
        <f t="shared" si="16"/>
        <v>-1</v>
      </c>
      <c r="O26" s="456"/>
      <c r="P26" s="728">
        <f t="shared" si="17"/>
        <v>-1</v>
      </c>
      <c r="Q26" s="729">
        <f t="shared" si="18"/>
        <v>0</v>
      </c>
      <c r="R26" s="730">
        <f t="shared" si="19"/>
        <v>-1</v>
      </c>
    </row>
    <row r="27" spans="1:18" ht="15" hidden="1" customHeight="1" x14ac:dyDescent="0.25">
      <c r="A27" s="310" t="s">
        <v>153</v>
      </c>
      <c r="B27" s="315">
        <v>2</v>
      </c>
      <c r="C27" s="311">
        <v>2</v>
      </c>
      <c r="D27" s="314">
        <f t="shared" si="10"/>
        <v>0</v>
      </c>
      <c r="E27" s="311">
        <v>2</v>
      </c>
      <c r="F27" s="314">
        <f t="shared" si="11"/>
        <v>0</v>
      </c>
      <c r="G27" s="715">
        <v>2</v>
      </c>
      <c r="H27" s="314">
        <f t="shared" si="12"/>
        <v>0</v>
      </c>
      <c r="I27" s="313">
        <f t="shared" si="13"/>
        <v>6</v>
      </c>
      <c r="J27" s="318">
        <f t="shared" si="14"/>
        <v>0</v>
      </c>
      <c r="K27" s="311">
        <v>2</v>
      </c>
      <c r="L27" s="314">
        <f t="shared" si="15"/>
        <v>0</v>
      </c>
      <c r="M27" s="311"/>
      <c r="N27" s="314">
        <f t="shared" si="16"/>
        <v>-1</v>
      </c>
      <c r="O27" s="311"/>
      <c r="P27" s="314">
        <f t="shared" si="17"/>
        <v>-1</v>
      </c>
      <c r="Q27" s="313">
        <f t="shared" si="18"/>
        <v>2</v>
      </c>
      <c r="R27" s="318">
        <f t="shared" si="19"/>
        <v>-0.66666666666666674</v>
      </c>
    </row>
    <row r="28" spans="1:18" ht="15" hidden="1" customHeight="1" x14ac:dyDescent="0.25">
      <c r="A28" s="310" t="s">
        <v>199</v>
      </c>
      <c r="B28" s="315">
        <v>3</v>
      </c>
      <c r="C28" s="311">
        <v>2</v>
      </c>
      <c r="D28" s="314">
        <f t="shared" si="10"/>
        <v>-0.33333333333333337</v>
      </c>
      <c r="E28" s="311">
        <v>2</v>
      </c>
      <c r="F28" s="314">
        <f t="shared" si="11"/>
        <v>-0.33333333333333337</v>
      </c>
      <c r="G28" s="715">
        <v>2</v>
      </c>
      <c r="H28" s="314">
        <f t="shared" si="12"/>
        <v>-0.33333333333333337</v>
      </c>
      <c r="I28" s="313">
        <f t="shared" si="13"/>
        <v>6</v>
      </c>
      <c r="J28" s="318">
        <f t="shared" si="14"/>
        <v>-0.33333333333333337</v>
      </c>
      <c r="K28" s="311">
        <v>2</v>
      </c>
      <c r="L28" s="314">
        <f t="shared" si="15"/>
        <v>-0.33333333333333337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2</v>
      </c>
      <c r="R28" s="318">
        <f t="shared" si="19"/>
        <v>-0.77777777777777779</v>
      </c>
    </row>
    <row r="29" spans="1:18" ht="15.75" hidden="1" customHeight="1" thickBot="1" x14ac:dyDescent="0.3">
      <c r="A29" s="56" t="s">
        <v>2</v>
      </c>
      <c r="B29" s="57">
        <f>SUM(B18:B28)</f>
        <v>38</v>
      </c>
      <c r="C29" s="317">
        <f>SUM(C18:C28)</f>
        <v>35</v>
      </c>
      <c r="D29" s="304">
        <f t="shared" si="10"/>
        <v>-7.8947368421052655E-2</v>
      </c>
      <c r="E29" s="317">
        <f>SUM(E18:E28)</f>
        <v>35</v>
      </c>
      <c r="F29" s="304">
        <f t="shared" si="11"/>
        <v>-7.8947368421052655E-2</v>
      </c>
      <c r="G29" s="317">
        <f>SUM(G18:G28)</f>
        <v>35</v>
      </c>
      <c r="H29" s="304">
        <f t="shared" si="12"/>
        <v>-7.8947368421052655E-2</v>
      </c>
      <c r="I29" s="306">
        <f t="shared" si="13"/>
        <v>105</v>
      </c>
      <c r="J29" s="300">
        <f t="shared" si="14"/>
        <v>-7.8947368421052655E-2</v>
      </c>
      <c r="K29" s="317">
        <f>SUM(K18:K28)</f>
        <v>35</v>
      </c>
      <c r="L29" s="304">
        <f t="shared" si="15"/>
        <v>-7.8947368421052655E-2</v>
      </c>
      <c r="M29" s="317">
        <f>SUM(M18:M28)</f>
        <v>0</v>
      </c>
      <c r="N29" s="304">
        <f t="shared" si="16"/>
        <v>-1</v>
      </c>
      <c r="O29" s="317">
        <f>SUM(O18:O28)</f>
        <v>0</v>
      </c>
      <c r="P29" s="304">
        <f t="shared" si="17"/>
        <v>-1</v>
      </c>
      <c r="Q29" s="306">
        <f t="shared" si="18"/>
        <v>35</v>
      </c>
      <c r="R29" s="300">
        <f t="shared" si="19"/>
        <v>-0.69298245614035081</v>
      </c>
    </row>
    <row r="30" spans="1:18" ht="15" hidden="1" customHeight="1" x14ac:dyDescent="0.25"/>
    <row r="31" spans="1:18" ht="15.75" hidden="1" customHeight="1" x14ac:dyDescent="0.25">
      <c r="A31" s="803" t="s">
        <v>355</v>
      </c>
      <c r="B31" s="802"/>
      <c r="C31" s="802"/>
      <c r="D31" s="802"/>
      <c r="E31" s="802"/>
      <c r="F31" s="802"/>
      <c r="G31" s="802"/>
      <c r="H31" s="802"/>
      <c r="I31" s="802"/>
      <c r="J31" s="802"/>
      <c r="K31" s="802"/>
      <c r="L31" s="802"/>
      <c r="M31" s="802"/>
      <c r="N31" s="802"/>
      <c r="O31" s="802"/>
      <c r="P31" s="802"/>
      <c r="Q31" s="802"/>
      <c r="R31" s="802"/>
    </row>
    <row r="32" spans="1:18" ht="24.75" hidden="1" customHeight="1" thickBot="1" x14ac:dyDescent="0.3">
      <c r="A32" s="120" t="s">
        <v>8</v>
      </c>
      <c r="B32" s="341" t="s">
        <v>9</v>
      </c>
      <c r="C32" s="325" t="str">
        <f t="shared" ref="C32:R32" si="20">C17</f>
        <v>JUL</v>
      </c>
      <c r="D32" s="326" t="str">
        <f t="shared" si="20"/>
        <v>%</v>
      </c>
      <c r="E32" s="325" t="str">
        <f t="shared" si="20"/>
        <v>AGO</v>
      </c>
      <c r="F32" s="326" t="str">
        <f t="shared" si="20"/>
        <v>%</v>
      </c>
      <c r="G32" s="325" t="str">
        <f t="shared" si="20"/>
        <v>SET</v>
      </c>
      <c r="H32" s="326" t="str">
        <f t="shared" si="20"/>
        <v>%</v>
      </c>
      <c r="I32" s="327" t="str">
        <f t="shared" si="20"/>
        <v>Trimestre</v>
      </c>
      <c r="J32" s="327" t="str">
        <f t="shared" si="20"/>
        <v>%</v>
      </c>
      <c r="K32" s="325" t="str">
        <f t="shared" si="20"/>
        <v>OUT</v>
      </c>
      <c r="L32" s="326" t="str">
        <f t="shared" si="20"/>
        <v>%</v>
      </c>
      <c r="M32" s="325" t="str">
        <f t="shared" si="20"/>
        <v>NOV</v>
      </c>
      <c r="N32" s="326" t="str">
        <f t="shared" si="20"/>
        <v>%</v>
      </c>
      <c r="O32" s="325" t="str">
        <f t="shared" si="20"/>
        <v>DEZ</v>
      </c>
      <c r="P32" s="326" t="str">
        <f t="shared" si="20"/>
        <v>%</v>
      </c>
      <c r="Q32" s="327" t="str">
        <f t="shared" si="20"/>
        <v>Trimestre</v>
      </c>
      <c r="R32" s="327" t="str">
        <f t="shared" si="20"/>
        <v>%</v>
      </c>
    </row>
    <row r="33" spans="1:18" ht="15.75" hidden="1" customHeight="1" thickTop="1" x14ac:dyDescent="0.25">
      <c r="A33" s="324" t="s">
        <v>254</v>
      </c>
      <c r="B33" s="335">
        <v>568</v>
      </c>
      <c r="C33" s="311">
        <v>0</v>
      </c>
      <c r="D33" s="314">
        <f>((C33/$B33))-1</f>
        <v>-1</v>
      </c>
      <c r="E33" s="311">
        <v>0</v>
      </c>
      <c r="F33" s="314">
        <f>((E33/$B33))-1</f>
        <v>-1</v>
      </c>
      <c r="G33" s="311">
        <v>0</v>
      </c>
      <c r="H33" s="314">
        <f>((G33/$B33))-1</f>
        <v>-1</v>
      </c>
      <c r="I33" s="313">
        <f>C33+E33+G33</f>
        <v>0</v>
      </c>
      <c r="J33" s="318">
        <f>((I33/(3*$B33)))-1</f>
        <v>-1</v>
      </c>
      <c r="K33" s="311">
        <v>0</v>
      </c>
      <c r="L33" s="314">
        <f>((K33/$B33))-1</f>
        <v>-1</v>
      </c>
      <c r="M33" s="311">
        <v>0</v>
      </c>
      <c r="N33" s="314">
        <f>((M33/$B33))-1</f>
        <v>-1</v>
      </c>
      <c r="O33" s="311"/>
      <c r="P33" s="314">
        <f>((O33/$B33))-1</f>
        <v>-1</v>
      </c>
      <c r="Q33" s="313">
        <f>K33+M33+O33</f>
        <v>0</v>
      </c>
      <c r="R33" s="318">
        <f>((Q33/(3*$B33)))-1</f>
        <v>-1</v>
      </c>
    </row>
    <row r="34" spans="1:18" ht="15.75" hidden="1" customHeight="1" thickBot="1" x14ac:dyDescent="0.25">
      <c r="A34" s="324" t="s">
        <v>255</v>
      </c>
      <c r="B34" s="335">
        <v>660</v>
      </c>
      <c r="C34" s="311">
        <v>275</v>
      </c>
      <c r="D34" s="314">
        <f>((C34/$B34))-1</f>
        <v>-0.58333333333333326</v>
      </c>
      <c r="E34" s="311">
        <v>321</v>
      </c>
      <c r="F34" s="314">
        <f>((E34/$B34))-1</f>
        <v>-0.51363636363636367</v>
      </c>
      <c r="G34" s="311">
        <v>107</v>
      </c>
      <c r="H34" s="314">
        <f>((G34/$B34))-1</f>
        <v>-0.83787878787878789</v>
      </c>
      <c r="I34" s="313">
        <f>C34+E34+G34</f>
        <v>703</v>
      </c>
      <c r="J34" s="318">
        <f>((I34/(3*$B34)))-1</f>
        <v>-0.64494949494949494</v>
      </c>
      <c r="K34" s="311">
        <v>25</v>
      </c>
      <c r="L34" s="314">
        <f>((K34/$B34))-1</f>
        <v>-0.96212121212121215</v>
      </c>
      <c r="M34" s="311">
        <v>0</v>
      </c>
      <c r="N34" s="314">
        <f>((M34/$B34))-1</f>
        <v>-1</v>
      </c>
      <c r="O34" s="311"/>
      <c r="P34" s="314">
        <f>((O34/$B34))-1</f>
        <v>-1</v>
      </c>
      <c r="Q34" s="313">
        <f>K34+M34+O34</f>
        <v>25</v>
      </c>
      <c r="R34" s="318">
        <f>((Q34/(3*$B34)))-1</f>
        <v>-0.98737373737373735</v>
      </c>
    </row>
    <row r="35" spans="1:18" ht="15.75" hidden="1" customHeight="1" thickBot="1" x14ac:dyDescent="0.3">
      <c r="A35" s="50" t="s">
        <v>2</v>
      </c>
      <c r="B35" s="370">
        <f>SUM(B33:B34)</f>
        <v>1228</v>
      </c>
      <c r="C35" s="54">
        <f>SUM(C33:C34)</f>
        <v>275</v>
      </c>
      <c r="D35" s="59">
        <f>((C35/$B35))-1</f>
        <v>-0.77605863192182412</v>
      </c>
      <c r="E35" s="54">
        <f>SUM(E33:E34)</f>
        <v>321</v>
      </c>
      <c r="F35" s="59">
        <f>((E35/$B35))-1</f>
        <v>-0.73859934853420195</v>
      </c>
      <c r="G35" s="54">
        <f>SUM(G33:G34)</f>
        <v>107</v>
      </c>
      <c r="H35" s="371">
        <f>((G35/$B35))-1</f>
        <v>-0.91286644951140061</v>
      </c>
      <c r="I35" s="372">
        <f>C35+E35+G35</f>
        <v>703</v>
      </c>
      <c r="J35" s="373">
        <f>((I35/(3*$B35)))-1</f>
        <v>-0.80917480998914226</v>
      </c>
      <c r="K35" s="54">
        <f>SUM(K33:K34)</f>
        <v>25</v>
      </c>
      <c r="L35" s="59">
        <f>((K35/$B35))-1</f>
        <v>-0.97964169381107491</v>
      </c>
      <c r="M35" s="54">
        <f>SUM(M33:M34)</f>
        <v>0</v>
      </c>
      <c r="N35" s="59">
        <f>((M35/$B35))-1</f>
        <v>-1</v>
      </c>
      <c r="O35" s="54">
        <f>SUM(O33:O34)</f>
        <v>0</v>
      </c>
      <c r="P35" s="371">
        <f>((O35/$B35))-1</f>
        <v>-1</v>
      </c>
      <c r="Q35" s="372">
        <f>K35+M35+O35</f>
        <v>25</v>
      </c>
      <c r="R35" s="373">
        <f>((Q35/(3*$B35)))-1</f>
        <v>-0.99321389793702497</v>
      </c>
    </row>
    <row r="36" spans="1:18" ht="15" hidden="1" customHeight="1" x14ac:dyDescent="0.25"/>
    <row r="37" spans="1:18" ht="15.75" hidden="1" x14ac:dyDescent="0.25">
      <c r="A37" s="803" t="s">
        <v>356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</row>
    <row r="38" spans="1:18" ht="24.75" hidden="1" thickBot="1" x14ac:dyDescent="0.3">
      <c r="A38" s="120" t="s">
        <v>8</v>
      </c>
      <c r="B38" s="121" t="s">
        <v>9</v>
      </c>
      <c r="C38" s="122" t="str">
        <f t="shared" ref="C38:R38" si="21">C32</f>
        <v>JUL</v>
      </c>
      <c r="D38" s="123" t="str">
        <f t="shared" si="21"/>
        <v>%</v>
      </c>
      <c r="E38" s="122" t="str">
        <f t="shared" si="21"/>
        <v>AGO</v>
      </c>
      <c r="F38" s="123" t="str">
        <f t="shared" si="21"/>
        <v>%</v>
      </c>
      <c r="G38" s="122" t="str">
        <f t="shared" si="21"/>
        <v>SET</v>
      </c>
      <c r="H38" s="123" t="str">
        <f t="shared" si="21"/>
        <v>%</v>
      </c>
      <c r="I38" s="124" t="str">
        <f t="shared" si="21"/>
        <v>Trimestre</v>
      </c>
      <c r="J38" s="124" t="str">
        <f t="shared" si="21"/>
        <v>%</v>
      </c>
      <c r="K38" s="122" t="str">
        <f t="shared" si="21"/>
        <v>OUT</v>
      </c>
      <c r="L38" s="123" t="str">
        <f t="shared" si="21"/>
        <v>%</v>
      </c>
      <c r="M38" s="122" t="str">
        <f t="shared" si="21"/>
        <v>NOV</v>
      </c>
      <c r="N38" s="123" t="str">
        <f t="shared" si="21"/>
        <v>%</v>
      </c>
      <c r="O38" s="122" t="str">
        <f t="shared" si="21"/>
        <v>DEZ</v>
      </c>
      <c r="P38" s="123" t="str">
        <f t="shared" si="21"/>
        <v>%</v>
      </c>
      <c r="Q38" s="124" t="str">
        <f t="shared" si="21"/>
        <v>Trimestre</v>
      </c>
      <c r="R38" s="124" t="str">
        <f t="shared" si="21"/>
        <v>%</v>
      </c>
    </row>
    <row r="39" spans="1:18" hidden="1" x14ac:dyDescent="0.25">
      <c r="A39" s="310" t="s">
        <v>172</v>
      </c>
      <c r="B39" s="315">
        <v>18</v>
      </c>
      <c r="C39" s="311">
        <v>18</v>
      </c>
      <c r="D39" s="314">
        <f>((C39/$B39))-1</f>
        <v>0</v>
      </c>
      <c r="E39" s="311">
        <v>18</v>
      </c>
      <c r="F39" s="314">
        <f>((E39/$B39))-1</f>
        <v>0</v>
      </c>
      <c r="G39" s="311">
        <v>18</v>
      </c>
      <c r="H39" s="314">
        <f>((G39/$B39))-1</f>
        <v>0</v>
      </c>
      <c r="I39" s="313">
        <f>C39+E39+G39</f>
        <v>54</v>
      </c>
      <c r="J39" s="318">
        <f>((I39/(3*$B39)))-1</f>
        <v>0</v>
      </c>
      <c r="K39" s="311">
        <v>18</v>
      </c>
      <c r="L39" s="314">
        <f>((K39/$B39))-1</f>
        <v>0</v>
      </c>
      <c r="M39" s="311"/>
      <c r="N39" s="314">
        <f>((M39/$B39))-1</f>
        <v>-1</v>
      </c>
      <c r="O39" s="311"/>
      <c r="P39" s="314">
        <f>((O39/$B39))-1</f>
        <v>-1</v>
      </c>
      <c r="Q39" s="313">
        <f>K39+M39+O39</f>
        <v>18</v>
      </c>
      <c r="R39" s="318">
        <f>((Q39/(3*$B39)))-1</f>
        <v>-0.66666666666666674</v>
      </c>
    </row>
    <row r="40" spans="1:18" hidden="1" x14ac:dyDescent="0.25">
      <c r="A40" s="323" t="s">
        <v>162</v>
      </c>
      <c r="B40" s="397">
        <v>12</v>
      </c>
      <c r="C40" s="329">
        <v>12</v>
      </c>
      <c r="D40" s="330">
        <f>((C40/$B40))-1</f>
        <v>0</v>
      </c>
      <c r="E40" s="329">
        <v>12</v>
      </c>
      <c r="F40" s="330">
        <f>((E40/$B40))-1</f>
        <v>0</v>
      </c>
      <c r="G40" s="329">
        <v>12</v>
      </c>
      <c r="H40" s="330">
        <f>((G40/$B40))-1</f>
        <v>0</v>
      </c>
      <c r="I40" s="331">
        <f>C40+E40+G40</f>
        <v>36</v>
      </c>
      <c r="J40" s="332">
        <f>((I40/(3*$B40)))-1</f>
        <v>0</v>
      </c>
      <c r="K40" s="329">
        <v>12</v>
      </c>
      <c r="L40" s="330">
        <f>((K40/$B40))-1</f>
        <v>0</v>
      </c>
      <c r="M40" s="329"/>
      <c r="N40" s="330">
        <f>((M40/$B40))-1</f>
        <v>-1</v>
      </c>
      <c r="O40" s="329"/>
      <c r="P40" s="330">
        <f>((O40/$B40))-1</f>
        <v>-1</v>
      </c>
      <c r="Q40" s="331">
        <f>K40+M40+O40</f>
        <v>12</v>
      </c>
      <c r="R40" s="332">
        <f>((Q40/(3*$B40)))-1</f>
        <v>-0.66666666666666674</v>
      </c>
    </row>
    <row r="41" spans="1:18" ht="15.75" hidden="1" thickBot="1" x14ac:dyDescent="0.3">
      <c r="A41" s="50" t="s">
        <v>2</v>
      </c>
      <c r="B41" s="52">
        <f>SUM(B39:B40)</f>
        <v>30</v>
      </c>
      <c r="C41" s="54">
        <f>SUM(C39:C40)</f>
        <v>30</v>
      </c>
      <c r="D41" s="59">
        <f>((C41/$B41))-1</f>
        <v>0</v>
      </c>
      <c r="E41" s="54">
        <f>SUM(E39:E40)</f>
        <v>30</v>
      </c>
      <c r="F41" s="59">
        <f>((E41/$B41))-1</f>
        <v>0</v>
      </c>
      <c r="G41" s="54">
        <f>SUM(G39:G40)</f>
        <v>30</v>
      </c>
      <c r="H41" s="59">
        <f>((G41/$B41))-1</f>
        <v>0</v>
      </c>
      <c r="I41" s="53">
        <f>C41+E41+G41</f>
        <v>90</v>
      </c>
      <c r="J41" s="60">
        <f>((I41/(3*$B41)))-1</f>
        <v>0</v>
      </c>
      <c r="K41" s="54">
        <f>SUM(K39:K40)</f>
        <v>30</v>
      </c>
      <c r="L41" s="59">
        <f>((K41/$B41))-1</f>
        <v>0</v>
      </c>
      <c r="M41" s="54">
        <f>SUM(M39:M40)</f>
        <v>0</v>
      </c>
      <c r="N41" s="59">
        <f>((M41/$B41))-1</f>
        <v>-1</v>
      </c>
      <c r="O41" s="54">
        <f>SUM(O39:O40)</f>
        <v>0</v>
      </c>
      <c r="P41" s="59">
        <f>((O41/$B41))-1</f>
        <v>-1</v>
      </c>
      <c r="Q41" s="53">
        <f>K41+M41+O41</f>
        <v>30</v>
      </c>
      <c r="R41" s="398">
        <f>((Q41/(3*$B41)))-1</f>
        <v>-0.66666666666666674</v>
      </c>
    </row>
  </sheetData>
  <mergeCells count="6">
    <mergeCell ref="A37:R37"/>
    <mergeCell ref="A31:R31"/>
    <mergeCell ref="A5:R5"/>
    <mergeCell ref="A16:R16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5" orientation="landscape" r:id="rId1"/>
  <headerFooter>
    <oddFooter>&amp;L&amp;10Fonte: Sistema WEBSAASS / SMS&amp;R&amp;10pag.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2:R45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4.42578125" customWidth="1"/>
    <col min="2" max="3" width="9" bestFit="1" customWidth="1"/>
    <col min="4" max="4" width="12.28515625" bestFit="1" customWidth="1"/>
    <col min="5" max="5" width="9" bestFit="1" customWidth="1"/>
    <col min="6" max="6" width="10.140625" customWidth="1"/>
    <col min="7" max="7" width="9" bestFit="1" customWidth="1"/>
    <col min="8" max="8" width="9.140625" customWidth="1"/>
    <col min="9" max="9" width="9.85546875" customWidth="1"/>
    <col min="10" max="10" width="9" customWidth="1"/>
    <col min="11" max="11" width="9" bestFit="1" customWidth="1"/>
    <col min="12" max="12" width="10.140625" bestFit="1" customWidth="1"/>
    <col min="13" max="13" width="9" bestFit="1" customWidth="1"/>
    <col min="14" max="14" width="10.140625" bestFit="1" customWidth="1"/>
    <col min="15" max="15" width="9" bestFit="1" customWidth="1"/>
    <col min="16" max="16" width="10.140625" bestFit="1" customWidth="1"/>
    <col min="17" max="17" width="9.5703125" customWidth="1"/>
    <col min="18" max="18" width="10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357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10" t="s">
        <v>8</v>
      </c>
      <c r="B6" s="111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112" t="s">
        <v>158</v>
      </c>
      <c r="B7" s="6">
        <v>7200</v>
      </c>
      <c r="C7" s="7">
        <v>5928</v>
      </c>
      <c r="D7" s="11">
        <f>((C7/$B7))-1</f>
        <v>-0.17666666666666664</v>
      </c>
      <c r="E7" s="7">
        <v>6063</v>
      </c>
      <c r="F7" s="11">
        <f>((E7/$B7))-1</f>
        <v>-0.15791666666666671</v>
      </c>
      <c r="G7" s="7">
        <v>6294</v>
      </c>
      <c r="H7" s="11">
        <f>((G7/$B7))-1</f>
        <v>-0.12583333333333335</v>
      </c>
      <c r="I7" s="9">
        <f>C7+E7+G7</f>
        <v>18285</v>
      </c>
      <c r="J7" s="12">
        <f>((I7/(3*$B7)))-1</f>
        <v>-0.15347222222222223</v>
      </c>
      <c r="K7" s="7">
        <v>6140</v>
      </c>
      <c r="L7" s="11">
        <f>((K7/$B7))-1</f>
        <v>-0.14722222222222225</v>
      </c>
      <c r="M7" s="7">
        <v>6689</v>
      </c>
      <c r="N7" s="11">
        <f>((M7/$B7))-1</f>
        <v>-7.0972222222222214E-2</v>
      </c>
      <c r="O7" s="7">
        <v>6196</v>
      </c>
      <c r="P7" s="11">
        <f>((O7/$B7))-1</f>
        <v>-0.13944444444444448</v>
      </c>
      <c r="Q7" s="9">
        <f>K7+M7+O7</f>
        <v>19025</v>
      </c>
      <c r="R7" s="12">
        <f>((Q7/(3*$B7)))-1</f>
        <v>-0.11921296296296291</v>
      </c>
    </row>
    <row r="8" spans="1:18" x14ac:dyDescent="0.25">
      <c r="A8" s="112" t="s">
        <v>159</v>
      </c>
      <c r="B8" s="113">
        <v>2496</v>
      </c>
      <c r="C8" s="114">
        <v>1724</v>
      </c>
      <c r="D8" s="11">
        <f t="shared" ref="D8:D13" si="0">((C8/$B8))-1</f>
        <v>-0.30929487179487181</v>
      </c>
      <c r="E8" s="114">
        <v>1686</v>
      </c>
      <c r="F8" s="11">
        <f t="shared" ref="F8:F15" si="1">((E8/$B8))-1</f>
        <v>-0.32451923076923073</v>
      </c>
      <c r="G8" s="114">
        <v>2273</v>
      </c>
      <c r="H8" s="11">
        <f>((G8/$B8))-1</f>
        <v>-8.9342948717948678E-2</v>
      </c>
      <c r="I8" s="9">
        <f t="shared" ref="I8:I14" si="2">C8+E8+G8</f>
        <v>5683</v>
      </c>
      <c r="J8" s="12">
        <f t="shared" ref="J8:J14" si="3">((I8/(3*$B8)))-1</f>
        <v>-0.2410523504273504</v>
      </c>
      <c r="K8" s="114">
        <v>1755</v>
      </c>
      <c r="L8" s="11">
        <f t="shared" ref="L8:L14" si="4">((K8/$B8))-1</f>
        <v>-0.296875</v>
      </c>
      <c r="M8" s="114">
        <v>1549</v>
      </c>
      <c r="N8" s="11">
        <f>((M8/$B8))-1</f>
        <v>-0.37940705128205132</v>
      </c>
      <c r="O8" s="114">
        <v>1675</v>
      </c>
      <c r="P8" s="11">
        <f>((O8/$B8))-1</f>
        <v>-0.32892628205128205</v>
      </c>
      <c r="Q8" s="9">
        <f t="shared" ref="Q8:Q14" si="5">K8+M8+O8</f>
        <v>4979</v>
      </c>
      <c r="R8" s="12">
        <f t="shared" ref="R8:R14" si="6">((Q8/(3*$B8)))-1</f>
        <v>-0.33506944444444442</v>
      </c>
    </row>
    <row r="9" spans="1:18" x14ac:dyDescent="0.25">
      <c r="A9" s="112" t="s">
        <v>160</v>
      </c>
      <c r="B9" s="113">
        <v>936</v>
      </c>
      <c r="C9" s="114">
        <v>1643</v>
      </c>
      <c r="D9" s="11">
        <f t="shared" si="0"/>
        <v>0.75534188034188032</v>
      </c>
      <c r="E9" s="114">
        <v>1482</v>
      </c>
      <c r="F9" s="11">
        <f t="shared" si="1"/>
        <v>0.58333333333333326</v>
      </c>
      <c r="G9" s="114">
        <v>1606</v>
      </c>
      <c r="H9" s="11">
        <f t="shared" ref="H9:H15" si="7">((G9/$B9))-1</f>
        <v>0.71581196581196571</v>
      </c>
      <c r="I9" s="9">
        <f t="shared" si="2"/>
        <v>4731</v>
      </c>
      <c r="J9" s="12">
        <f t="shared" si="3"/>
        <v>0.68482905982905984</v>
      </c>
      <c r="K9" s="114">
        <v>1348</v>
      </c>
      <c r="L9" s="11">
        <f t="shared" si="4"/>
        <v>0.44017094017094016</v>
      </c>
      <c r="M9" s="114">
        <v>1165</v>
      </c>
      <c r="N9" s="11">
        <f t="shared" ref="N9:N14" si="8">((M9/$B9))-1</f>
        <v>0.24465811965811968</v>
      </c>
      <c r="O9" s="114">
        <v>1283</v>
      </c>
      <c r="P9" s="11">
        <f t="shared" ref="P9:P15" si="9">((O9/$B9))-1</f>
        <v>0.37072649572649574</v>
      </c>
      <c r="Q9" s="9">
        <f t="shared" si="5"/>
        <v>3796</v>
      </c>
      <c r="R9" s="12">
        <f t="shared" si="6"/>
        <v>0.35185185185185186</v>
      </c>
    </row>
    <row r="10" spans="1:18" x14ac:dyDescent="0.25">
      <c r="A10" s="384" t="s">
        <v>161</v>
      </c>
      <c r="B10" s="316">
        <v>526</v>
      </c>
      <c r="C10" s="307">
        <v>611</v>
      </c>
      <c r="D10" s="353">
        <f t="shared" si="0"/>
        <v>0.16159695817490505</v>
      </c>
      <c r="E10" s="307">
        <v>480</v>
      </c>
      <c r="F10" s="353">
        <f t="shared" si="1"/>
        <v>-8.7452471482889704E-2</v>
      </c>
      <c r="G10" s="307">
        <v>360</v>
      </c>
      <c r="H10" s="353">
        <f t="shared" si="7"/>
        <v>-0.31558935361216733</v>
      </c>
      <c r="I10" s="354">
        <f t="shared" si="2"/>
        <v>1451</v>
      </c>
      <c r="J10" s="355">
        <f t="shared" si="3"/>
        <v>-8.0481622306717404E-2</v>
      </c>
      <c r="K10" s="307">
        <v>638</v>
      </c>
      <c r="L10" s="353">
        <f t="shared" si="4"/>
        <v>0.21292775665399244</v>
      </c>
      <c r="M10" s="307">
        <v>658</v>
      </c>
      <c r="N10" s="353">
        <f t="shared" si="8"/>
        <v>0.25095057034220525</v>
      </c>
      <c r="O10" s="307">
        <v>578</v>
      </c>
      <c r="P10" s="353">
        <f t="shared" si="9"/>
        <v>9.8859315589353569E-2</v>
      </c>
      <c r="Q10" s="354">
        <f t="shared" si="5"/>
        <v>1874</v>
      </c>
      <c r="R10" s="355">
        <f t="shared" si="6"/>
        <v>0.18757921419518375</v>
      </c>
    </row>
    <row r="11" spans="1:18" x14ac:dyDescent="0.25">
      <c r="A11" s="310" t="s">
        <v>162</v>
      </c>
      <c r="B11" s="315">
        <v>789</v>
      </c>
      <c r="C11" s="311">
        <v>195</v>
      </c>
      <c r="D11" s="314">
        <f t="shared" si="0"/>
        <v>-0.75285171102661597</v>
      </c>
      <c r="E11" s="311">
        <v>261</v>
      </c>
      <c r="F11" s="314">
        <f t="shared" si="1"/>
        <v>-0.66920152091254748</v>
      </c>
      <c r="G11" s="311">
        <v>440</v>
      </c>
      <c r="H11" s="314">
        <f t="shared" si="7"/>
        <v>-0.44233206590621044</v>
      </c>
      <c r="I11" s="313">
        <f t="shared" si="2"/>
        <v>896</v>
      </c>
      <c r="J11" s="318">
        <f t="shared" si="3"/>
        <v>-0.62146176594845803</v>
      </c>
      <c r="K11" s="311">
        <v>429</v>
      </c>
      <c r="L11" s="314">
        <f t="shared" si="4"/>
        <v>-0.45627376425855515</v>
      </c>
      <c r="M11" s="311">
        <v>526</v>
      </c>
      <c r="N11" s="314">
        <f t="shared" si="8"/>
        <v>-0.33333333333333337</v>
      </c>
      <c r="O11" s="311">
        <v>419</v>
      </c>
      <c r="P11" s="314">
        <f t="shared" si="9"/>
        <v>-0.46894803548795949</v>
      </c>
      <c r="Q11" s="313">
        <f t="shared" si="5"/>
        <v>1374</v>
      </c>
      <c r="R11" s="318">
        <f t="shared" si="6"/>
        <v>-0.4195183776932826</v>
      </c>
    </row>
    <row r="12" spans="1:18" x14ac:dyDescent="0.25">
      <c r="A12" s="310" t="s">
        <v>163</v>
      </c>
      <c r="B12" s="315">
        <v>789</v>
      </c>
      <c r="C12" s="311">
        <v>223</v>
      </c>
      <c r="D12" s="314">
        <f t="shared" si="0"/>
        <v>-0.71736375158428389</v>
      </c>
      <c r="E12" s="311">
        <v>238</v>
      </c>
      <c r="F12" s="314">
        <f t="shared" si="1"/>
        <v>-0.69835234474017738</v>
      </c>
      <c r="G12" s="311">
        <v>229</v>
      </c>
      <c r="H12" s="314">
        <f t="shared" si="7"/>
        <v>-0.70975918884664124</v>
      </c>
      <c r="I12" s="313">
        <f t="shared" si="2"/>
        <v>690</v>
      </c>
      <c r="J12" s="318">
        <f t="shared" si="3"/>
        <v>-0.70849176172370087</v>
      </c>
      <c r="K12" s="311">
        <v>219</v>
      </c>
      <c r="L12" s="314">
        <f t="shared" si="4"/>
        <v>-0.72243346007604559</v>
      </c>
      <c r="M12" s="311">
        <v>325</v>
      </c>
      <c r="N12" s="314">
        <f t="shared" si="8"/>
        <v>-0.58808618504435994</v>
      </c>
      <c r="O12" s="311">
        <v>385</v>
      </c>
      <c r="P12" s="314">
        <f t="shared" si="9"/>
        <v>-0.5120405576679341</v>
      </c>
      <c r="Q12" s="313">
        <f t="shared" si="5"/>
        <v>929</v>
      </c>
      <c r="R12" s="318">
        <f t="shared" si="6"/>
        <v>-0.60752006759611321</v>
      </c>
    </row>
    <row r="13" spans="1:18" ht="24" x14ac:dyDescent="0.25">
      <c r="A13" s="464" t="s">
        <v>188</v>
      </c>
      <c r="B13" s="421">
        <v>216</v>
      </c>
      <c r="C13" s="311">
        <v>180</v>
      </c>
      <c r="D13" s="339">
        <f t="shared" si="0"/>
        <v>-0.16666666666666663</v>
      </c>
      <c r="E13" s="311">
        <v>327</v>
      </c>
      <c r="F13" s="339">
        <f t="shared" si="1"/>
        <v>0.51388888888888884</v>
      </c>
      <c r="G13" s="311">
        <v>370</v>
      </c>
      <c r="H13" s="422">
        <f t="shared" si="7"/>
        <v>0.71296296296296302</v>
      </c>
      <c r="I13" s="313">
        <f t="shared" si="2"/>
        <v>877</v>
      </c>
      <c r="J13" s="340">
        <f t="shared" si="3"/>
        <v>0.35339506172839497</v>
      </c>
      <c r="K13" s="311">
        <v>175</v>
      </c>
      <c r="L13" s="339">
        <f t="shared" si="4"/>
        <v>-0.18981481481481477</v>
      </c>
      <c r="M13" s="311">
        <v>236</v>
      </c>
      <c r="N13" s="339">
        <f t="shared" si="8"/>
        <v>9.259259259259256E-2</v>
      </c>
      <c r="O13" s="311">
        <v>250</v>
      </c>
      <c r="P13" s="422">
        <f t="shared" si="9"/>
        <v>0.15740740740740744</v>
      </c>
      <c r="Q13" s="313">
        <f t="shared" si="5"/>
        <v>661</v>
      </c>
      <c r="R13" s="340">
        <f t="shared" si="6"/>
        <v>2.0061728395061706E-2</v>
      </c>
    </row>
    <row r="14" spans="1:18" ht="15.75" thickBot="1" x14ac:dyDescent="0.3">
      <c r="A14" s="855" t="s">
        <v>4</v>
      </c>
      <c r="B14" s="423">
        <v>756</v>
      </c>
      <c r="C14" s="329">
        <v>592</v>
      </c>
      <c r="D14" s="330">
        <f>((C14/$B$14))-1</f>
        <v>-0.21693121693121697</v>
      </c>
      <c r="E14" s="329">
        <v>756</v>
      </c>
      <c r="F14" s="402">
        <f t="shared" si="1"/>
        <v>0</v>
      </c>
      <c r="G14" s="329">
        <v>1008</v>
      </c>
      <c r="H14" s="424">
        <f t="shared" si="7"/>
        <v>0.33333333333333326</v>
      </c>
      <c r="I14" s="331">
        <f t="shared" si="2"/>
        <v>2356</v>
      </c>
      <c r="J14" s="407">
        <f t="shared" si="3"/>
        <v>3.8800705467372243E-2</v>
      </c>
      <c r="K14" s="329">
        <v>896</v>
      </c>
      <c r="L14" s="402">
        <f t="shared" si="4"/>
        <v>0.18518518518518512</v>
      </c>
      <c r="M14" s="329">
        <v>1409</v>
      </c>
      <c r="N14" s="402">
        <f t="shared" si="8"/>
        <v>0.86375661375661372</v>
      </c>
      <c r="O14" s="329">
        <v>875</v>
      </c>
      <c r="P14" s="424">
        <f t="shared" si="9"/>
        <v>0.15740740740740744</v>
      </c>
      <c r="Q14" s="331">
        <f t="shared" si="5"/>
        <v>3180</v>
      </c>
      <c r="R14" s="407">
        <f t="shared" si="6"/>
        <v>0.40211640211640209</v>
      </c>
    </row>
    <row r="15" spans="1:18" ht="15.75" thickBot="1" x14ac:dyDescent="0.3">
      <c r="A15" s="50" t="s">
        <v>2</v>
      </c>
      <c r="B15" s="52">
        <f>SUM(B6:B14)</f>
        <v>13708</v>
      </c>
      <c r="C15" s="54">
        <f>SUM(C7:C14)</f>
        <v>11096</v>
      </c>
      <c r="D15" s="59">
        <f>((C15/$B15))-1</f>
        <v>-0.19054566676393347</v>
      </c>
      <c r="E15" s="54">
        <f>SUM(E7:E14)</f>
        <v>11293</v>
      </c>
      <c r="F15" s="59">
        <f t="shared" si="1"/>
        <v>-0.1761744966442953</v>
      </c>
      <c r="G15" s="54">
        <f>SUM(G7:G14)</f>
        <v>12580</v>
      </c>
      <c r="H15" s="59">
        <f t="shared" si="7"/>
        <v>-8.2287715202801315E-2</v>
      </c>
      <c r="I15" s="53">
        <f>C15+E15+G15</f>
        <v>34969</v>
      </c>
      <c r="J15" s="60">
        <f>((I15/(3*$B15)))-1</f>
        <v>-0.14966929287034336</v>
      </c>
      <c r="K15" s="54">
        <f>SUM(K7:K14)</f>
        <v>11600</v>
      </c>
      <c r="L15" s="59">
        <f>((K15/$B15))-1</f>
        <v>-0.15377881529034143</v>
      </c>
      <c r="M15" s="54">
        <f>SUM(M7:M14)</f>
        <v>12557</v>
      </c>
      <c r="N15" s="59">
        <f>((M15/$B15))-1</f>
        <v>-8.3965567551794518E-2</v>
      </c>
      <c r="O15" s="54">
        <f>SUM(O7:O14)</f>
        <v>11661</v>
      </c>
      <c r="P15" s="59">
        <f t="shared" si="9"/>
        <v>-0.14932885906040272</v>
      </c>
      <c r="Q15" s="53">
        <f>K15+M15+O15</f>
        <v>35818</v>
      </c>
      <c r="R15" s="398">
        <f>((Q15/(3*$B15)))-1</f>
        <v>-0.12902441396751285</v>
      </c>
    </row>
    <row r="16" spans="1:18" x14ac:dyDescent="0.25">
      <c r="A16" s="722"/>
      <c r="B16" s="723"/>
      <c r="C16" s="724"/>
      <c r="D16" s="725"/>
      <c r="E16" s="724"/>
      <c r="F16" s="725"/>
      <c r="G16" s="724"/>
      <c r="H16" s="725"/>
      <c r="I16" s="726"/>
      <c r="J16" s="725"/>
      <c r="K16" s="724"/>
      <c r="L16" s="725"/>
      <c r="M16" s="724"/>
      <c r="N16" s="725"/>
      <c r="O16" s="724"/>
      <c r="P16" s="725"/>
      <c r="Q16" s="726"/>
      <c r="R16" s="725"/>
    </row>
    <row r="17" spans="1:18" ht="15.75" hidden="1" x14ac:dyDescent="0.25">
      <c r="A17" s="809" t="s">
        <v>358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</row>
    <row r="18" spans="1:18" ht="24.75" hidden="1" thickBot="1" x14ac:dyDescent="0.3">
      <c r="A18" s="101" t="s">
        <v>8</v>
      </c>
      <c r="B18" s="102" t="s">
        <v>9</v>
      </c>
      <c r="C18" s="122" t="str">
        <f t="shared" ref="C18:R18" si="10">C6</f>
        <v>JAN</v>
      </c>
      <c r="D18" s="123" t="str">
        <f t="shared" si="10"/>
        <v>%</v>
      </c>
      <c r="E18" s="122" t="str">
        <f t="shared" si="10"/>
        <v>FEV</v>
      </c>
      <c r="F18" s="123" t="str">
        <f t="shared" si="10"/>
        <v>%</v>
      </c>
      <c r="G18" s="122" t="str">
        <f t="shared" si="10"/>
        <v>MAR</v>
      </c>
      <c r="H18" s="123" t="str">
        <f t="shared" si="10"/>
        <v>%</v>
      </c>
      <c r="I18" s="124" t="str">
        <f t="shared" si="10"/>
        <v>Trimestre</v>
      </c>
      <c r="J18" s="124" t="str">
        <f t="shared" si="10"/>
        <v>%</v>
      </c>
      <c r="K18" s="122" t="str">
        <f t="shared" si="10"/>
        <v>ABR</v>
      </c>
      <c r="L18" s="123" t="str">
        <f t="shared" si="10"/>
        <v>%</v>
      </c>
      <c r="M18" s="122" t="str">
        <f t="shared" si="10"/>
        <v>MAI</v>
      </c>
      <c r="N18" s="123" t="str">
        <f t="shared" si="10"/>
        <v>%</v>
      </c>
      <c r="O18" s="122" t="str">
        <f t="shared" si="10"/>
        <v>JUN</v>
      </c>
      <c r="P18" s="123" t="str">
        <f t="shared" si="10"/>
        <v>%</v>
      </c>
      <c r="Q18" s="124" t="str">
        <f t="shared" si="10"/>
        <v>Trimestre</v>
      </c>
      <c r="R18" s="124" t="str">
        <f t="shared" si="10"/>
        <v>%</v>
      </c>
    </row>
    <row r="19" spans="1:18" ht="15.75" hidden="1" thickTop="1" x14ac:dyDescent="0.25">
      <c r="A19" s="112" t="s">
        <v>164</v>
      </c>
      <c r="B19" s="6">
        <v>36</v>
      </c>
      <c r="C19" s="7">
        <v>36</v>
      </c>
      <c r="D19" s="11">
        <f>((C19/$B19))-1</f>
        <v>0</v>
      </c>
      <c r="E19" s="7">
        <v>33</v>
      </c>
      <c r="F19" s="11">
        <f>((E19/$B19))-1</f>
        <v>-8.333333333333337E-2</v>
      </c>
      <c r="G19" s="7">
        <v>36</v>
      </c>
      <c r="H19" s="11">
        <f>((G19/$B19))-1</f>
        <v>0</v>
      </c>
      <c r="I19" s="9">
        <f>C19+E19+G19</f>
        <v>105</v>
      </c>
      <c r="J19" s="12">
        <f>((I19/(3*$B19)))-1</f>
        <v>-2.777777777777779E-2</v>
      </c>
      <c r="K19" s="7">
        <v>34</v>
      </c>
      <c r="L19" s="11">
        <f>((K19/$B19))-1</f>
        <v>-5.555555555555558E-2</v>
      </c>
      <c r="M19" s="7">
        <v>34</v>
      </c>
      <c r="N19" s="11">
        <f>((M19/$B19))-1</f>
        <v>-5.555555555555558E-2</v>
      </c>
      <c r="O19" s="7">
        <v>34</v>
      </c>
      <c r="P19" s="11">
        <f>((O19/$B19))-1</f>
        <v>-5.555555555555558E-2</v>
      </c>
      <c r="Q19" s="9">
        <f>K19+M19+O19</f>
        <v>102</v>
      </c>
      <c r="R19" s="12">
        <f>((Q19/(3*$B19)))-1</f>
        <v>-5.555555555555558E-2</v>
      </c>
    </row>
    <row r="20" spans="1:18" hidden="1" x14ac:dyDescent="0.25">
      <c r="A20" s="112" t="s">
        <v>165</v>
      </c>
      <c r="B20" s="103">
        <v>6</v>
      </c>
      <c r="C20" s="711">
        <v>6</v>
      </c>
      <c r="D20" s="11">
        <f t="shared" ref="D20:D28" si="11">((C20/$B20))-1</f>
        <v>0</v>
      </c>
      <c r="E20" s="710">
        <v>5</v>
      </c>
      <c r="F20" s="11">
        <f t="shared" ref="F20:F28" si="12">((E20/$B20))-1</f>
        <v>-0.16666666666666663</v>
      </c>
      <c r="G20" s="296">
        <v>6</v>
      </c>
      <c r="H20" s="11">
        <f t="shared" ref="H20:H28" si="13">((G20/$B20))-1</f>
        <v>0</v>
      </c>
      <c r="I20" s="9">
        <f t="shared" ref="I20:I27" si="14">C20+E20+G20</f>
        <v>17</v>
      </c>
      <c r="J20" s="12">
        <f>((I20/(3*$B20)))-1</f>
        <v>-5.555555555555558E-2</v>
      </c>
      <c r="K20" s="104">
        <v>6</v>
      </c>
      <c r="L20" s="11">
        <f t="shared" ref="L20:L27" si="15">((K20/$B20))-1</f>
        <v>0</v>
      </c>
      <c r="M20" s="104">
        <v>6</v>
      </c>
      <c r="N20" s="11">
        <f t="shared" ref="N20:N27" si="16">((M20/$B20))-1</f>
        <v>0</v>
      </c>
      <c r="O20" s="104">
        <v>6</v>
      </c>
      <c r="P20" s="11">
        <f t="shared" ref="P20:P28" si="17">((O20/$B20))-1</f>
        <v>0</v>
      </c>
      <c r="Q20" s="9">
        <f t="shared" ref="Q20:Q27" si="18">K20+M20+O20</f>
        <v>18</v>
      </c>
      <c r="R20" s="12">
        <f>((Q20/(3*$B20)))-1</f>
        <v>0</v>
      </c>
    </row>
    <row r="21" spans="1:18" hidden="1" x14ac:dyDescent="0.25">
      <c r="A21" s="112" t="s">
        <v>166</v>
      </c>
      <c r="B21" s="103">
        <v>6</v>
      </c>
      <c r="C21" s="104">
        <v>6</v>
      </c>
      <c r="D21" s="11">
        <f t="shared" si="11"/>
        <v>0</v>
      </c>
      <c r="E21" s="295">
        <v>6</v>
      </c>
      <c r="F21" s="11">
        <f t="shared" si="12"/>
        <v>0</v>
      </c>
      <c r="G21" s="296">
        <v>6</v>
      </c>
      <c r="H21" s="11">
        <f t="shared" si="13"/>
        <v>0</v>
      </c>
      <c r="I21" s="9">
        <f t="shared" si="14"/>
        <v>18</v>
      </c>
      <c r="J21" s="12">
        <f t="shared" ref="J21:J28" si="19">((I21/(3*$B21)))-1</f>
        <v>0</v>
      </c>
      <c r="K21" s="104">
        <v>6</v>
      </c>
      <c r="L21" s="11">
        <f t="shared" si="15"/>
        <v>0</v>
      </c>
      <c r="M21" s="104">
        <v>6</v>
      </c>
      <c r="N21" s="11">
        <f t="shared" si="16"/>
        <v>0</v>
      </c>
      <c r="O21" s="104">
        <v>6</v>
      </c>
      <c r="P21" s="11">
        <f t="shared" si="17"/>
        <v>0</v>
      </c>
      <c r="Q21" s="9">
        <f t="shared" si="18"/>
        <v>18</v>
      </c>
      <c r="R21" s="12">
        <f t="shared" ref="R21:R27" si="20">((Q21/(3*$B21)))-1</f>
        <v>0</v>
      </c>
    </row>
    <row r="22" spans="1:18" hidden="1" x14ac:dyDescent="0.25">
      <c r="A22" s="112" t="s">
        <v>167</v>
      </c>
      <c r="B22" s="103">
        <v>2</v>
      </c>
      <c r="C22" s="104" t="s">
        <v>375</v>
      </c>
      <c r="D22" s="11" t="e">
        <f t="shared" si="11"/>
        <v>#VALUE!</v>
      </c>
      <c r="E22" s="295" t="s">
        <v>375</v>
      </c>
      <c r="F22" s="11" t="e">
        <f t="shared" si="12"/>
        <v>#VALUE!</v>
      </c>
      <c r="G22" s="104" t="s">
        <v>375</v>
      </c>
      <c r="H22" s="11" t="e">
        <f t="shared" si="13"/>
        <v>#VALUE!</v>
      </c>
      <c r="I22" s="9" t="e">
        <f t="shared" si="14"/>
        <v>#VALUE!</v>
      </c>
      <c r="J22" s="12" t="e">
        <f t="shared" si="19"/>
        <v>#VALUE!</v>
      </c>
      <c r="K22" s="710">
        <v>2.5</v>
      </c>
      <c r="L22" s="11">
        <f t="shared" si="15"/>
        <v>0.25</v>
      </c>
      <c r="M22" s="296">
        <v>2.5</v>
      </c>
      <c r="N22" s="11">
        <f t="shared" si="16"/>
        <v>0.25</v>
      </c>
      <c r="O22" s="205">
        <v>2.5</v>
      </c>
      <c r="P22" s="11">
        <f t="shared" si="17"/>
        <v>0.25</v>
      </c>
      <c r="Q22" s="9">
        <f t="shared" si="18"/>
        <v>7.5</v>
      </c>
      <c r="R22" s="12">
        <f t="shared" si="20"/>
        <v>0.25</v>
      </c>
    </row>
    <row r="23" spans="1:18" hidden="1" x14ac:dyDescent="0.25">
      <c r="A23" s="115" t="s">
        <v>168</v>
      </c>
      <c r="B23" s="103">
        <v>3</v>
      </c>
      <c r="C23" s="104">
        <v>2</v>
      </c>
      <c r="D23" s="11">
        <f t="shared" si="11"/>
        <v>-0.33333333333333337</v>
      </c>
      <c r="E23" s="295">
        <v>2</v>
      </c>
      <c r="F23" s="11">
        <f t="shared" si="12"/>
        <v>-0.33333333333333337</v>
      </c>
      <c r="G23" s="104">
        <v>2</v>
      </c>
      <c r="H23" s="11">
        <f t="shared" si="13"/>
        <v>-0.33333333333333337</v>
      </c>
      <c r="I23" s="9">
        <f t="shared" si="14"/>
        <v>6</v>
      </c>
      <c r="J23" s="12">
        <f t="shared" si="19"/>
        <v>-0.33333333333333337</v>
      </c>
      <c r="K23" s="104">
        <v>2</v>
      </c>
      <c r="L23" s="11">
        <f t="shared" si="15"/>
        <v>-0.33333333333333337</v>
      </c>
      <c r="M23" s="104">
        <v>2</v>
      </c>
      <c r="N23" s="11">
        <f t="shared" si="16"/>
        <v>-0.33333333333333337</v>
      </c>
      <c r="O23" s="104">
        <v>2</v>
      </c>
      <c r="P23" s="11">
        <f t="shared" si="17"/>
        <v>-0.33333333333333337</v>
      </c>
      <c r="Q23" s="9">
        <f t="shared" si="18"/>
        <v>6</v>
      </c>
      <c r="R23" s="12">
        <f t="shared" si="20"/>
        <v>-0.33333333333333337</v>
      </c>
    </row>
    <row r="24" spans="1:18" hidden="1" x14ac:dyDescent="0.25">
      <c r="A24" s="116" t="s">
        <v>169</v>
      </c>
      <c r="B24" s="103">
        <v>3</v>
      </c>
      <c r="C24" s="104">
        <v>2</v>
      </c>
      <c r="D24" s="11">
        <f t="shared" si="11"/>
        <v>-0.33333333333333337</v>
      </c>
      <c r="E24" s="295">
        <v>1</v>
      </c>
      <c r="F24" s="11">
        <f t="shared" si="12"/>
        <v>-0.66666666666666674</v>
      </c>
      <c r="G24" s="104">
        <v>1</v>
      </c>
      <c r="H24" s="11">
        <f t="shared" si="13"/>
        <v>-0.66666666666666674</v>
      </c>
      <c r="I24" s="9">
        <f t="shared" si="14"/>
        <v>4</v>
      </c>
      <c r="J24" s="12">
        <f t="shared" si="19"/>
        <v>-0.55555555555555558</v>
      </c>
      <c r="K24" s="104">
        <v>1</v>
      </c>
      <c r="L24" s="11">
        <f t="shared" si="15"/>
        <v>-0.66666666666666674</v>
      </c>
      <c r="M24" s="104">
        <v>1</v>
      </c>
      <c r="N24" s="11">
        <f t="shared" si="16"/>
        <v>-0.66666666666666674</v>
      </c>
      <c r="O24" s="104">
        <v>3</v>
      </c>
      <c r="P24" s="11">
        <f t="shared" si="17"/>
        <v>0</v>
      </c>
      <c r="Q24" s="9">
        <f t="shared" si="18"/>
        <v>5</v>
      </c>
      <c r="R24" s="12">
        <f t="shared" si="20"/>
        <v>-0.44444444444444442</v>
      </c>
    </row>
    <row r="25" spans="1:18" hidden="1" x14ac:dyDescent="0.25">
      <c r="A25" s="117" t="s">
        <v>192</v>
      </c>
      <c r="B25" s="105">
        <v>1</v>
      </c>
      <c r="C25" s="106">
        <v>0</v>
      </c>
      <c r="D25" s="11">
        <f t="shared" si="11"/>
        <v>-1</v>
      </c>
      <c r="E25" s="106">
        <v>1</v>
      </c>
      <c r="F25" s="47">
        <f t="shared" si="12"/>
        <v>0</v>
      </c>
      <c r="G25" s="106">
        <v>1</v>
      </c>
      <c r="H25" s="11">
        <f t="shared" si="13"/>
        <v>0</v>
      </c>
      <c r="I25" s="9">
        <f t="shared" si="14"/>
        <v>2</v>
      </c>
      <c r="J25" s="132">
        <f t="shared" si="19"/>
        <v>-0.33333333333333337</v>
      </c>
      <c r="K25" s="106">
        <v>1</v>
      </c>
      <c r="L25" s="11">
        <f t="shared" si="15"/>
        <v>0</v>
      </c>
      <c r="M25" s="106">
        <v>1</v>
      </c>
      <c r="N25" s="11">
        <f t="shared" si="16"/>
        <v>0</v>
      </c>
      <c r="O25" s="106">
        <v>1</v>
      </c>
      <c r="P25" s="11">
        <f t="shared" si="17"/>
        <v>0</v>
      </c>
      <c r="Q25" s="9">
        <f t="shared" si="18"/>
        <v>3</v>
      </c>
      <c r="R25" s="12">
        <f t="shared" si="20"/>
        <v>0</v>
      </c>
    </row>
    <row r="26" spans="1:18" hidden="1" x14ac:dyDescent="0.25">
      <c r="A26" s="117" t="s">
        <v>170</v>
      </c>
      <c r="B26" s="216">
        <v>3</v>
      </c>
      <c r="C26" s="106">
        <v>3</v>
      </c>
      <c r="D26" s="11">
        <f t="shared" si="11"/>
        <v>0</v>
      </c>
      <c r="E26" s="106">
        <v>3</v>
      </c>
      <c r="F26" s="203">
        <f t="shared" ref="F26" si="21">((E26/$B26))-1</f>
        <v>0</v>
      </c>
      <c r="G26" s="106">
        <v>3</v>
      </c>
      <c r="H26" s="11">
        <f t="shared" si="13"/>
        <v>0</v>
      </c>
      <c r="I26" s="9">
        <f t="shared" ref="I26" si="22">C26+E26+G26</f>
        <v>9</v>
      </c>
      <c r="J26" s="202">
        <f t="shared" ref="J26" si="23">((I26/(3*$B26)))-1</f>
        <v>0</v>
      </c>
      <c r="K26" s="106">
        <v>3</v>
      </c>
      <c r="L26" s="11">
        <f t="shared" si="15"/>
        <v>0</v>
      </c>
      <c r="M26" s="106">
        <v>3</v>
      </c>
      <c r="N26" s="11">
        <f t="shared" si="16"/>
        <v>0</v>
      </c>
      <c r="O26" s="106">
        <v>3</v>
      </c>
      <c r="P26" s="11">
        <f t="shared" si="17"/>
        <v>0</v>
      </c>
      <c r="Q26" s="9">
        <f t="shared" ref="Q26" si="24">K26+M26+O26</f>
        <v>9</v>
      </c>
      <c r="R26" s="12">
        <f t="shared" si="20"/>
        <v>0</v>
      </c>
    </row>
    <row r="27" spans="1:18" ht="15.75" hidden="1" thickBot="1" x14ac:dyDescent="0.3">
      <c r="A27" s="117" t="s">
        <v>184</v>
      </c>
      <c r="B27" s="107">
        <v>2</v>
      </c>
      <c r="C27" s="108">
        <v>3</v>
      </c>
      <c r="D27" s="109">
        <f t="shared" si="11"/>
        <v>0.5</v>
      </c>
      <c r="E27" s="108">
        <v>3</v>
      </c>
      <c r="F27" s="109">
        <f t="shared" si="12"/>
        <v>0.5</v>
      </c>
      <c r="G27" s="108">
        <v>3</v>
      </c>
      <c r="H27" s="109">
        <f t="shared" si="13"/>
        <v>0.5</v>
      </c>
      <c r="I27" s="48">
        <f t="shared" si="14"/>
        <v>9</v>
      </c>
      <c r="J27" s="192">
        <f t="shared" si="19"/>
        <v>0.5</v>
      </c>
      <c r="K27" s="108">
        <v>2</v>
      </c>
      <c r="L27" s="109">
        <f t="shared" si="15"/>
        <v>0</v>
      </c>
      <c r="M27" s="108">
        <v>2</v>
      </c>
      <c r="N27" s="109">
        <f t="shared" si="16"/>
        <v>0</v>
      </c>
      <c r="O27" s="108">
        <v>2</v>
      </c>
      <c r="P27" s="109">
        <f t="shared" si="17"/>
        <v>0</v>
      </c>
      <c r="Q27" s="131">
        <f t="shared" si="18"/>
        <v>6</v>
      </c>
      <c r="R27" s="192">
        <f t="shared" si="20"/>
        <v>0</v>
      </c>
    </row>
    <row r="28" spans="1:18" ht="24" hidden="1" customHeight="1" thickBot="1" x14ac:dyDescent="0.3">
      <c r="A28" s="50" t="s">
        <v>2</v>
      </c>
      <c r="B28" s="52">
        <f>SUM(B19:B27)</f>
        <v>62</v>
      </c>
      <c r="C28" s="54">
        <f>SUM(C19:C27)</f>
        <v>58</v>
      </c>
      <c r="D28" s="59">
        <f t="shared" si="11"/>
        <v>-6.4516129032258118E-2</v>
      </c>
      <c r="E28" s="54">
        <f>SUM(E19:E27)</f>
        <v>54</v>
      </c>
      <c r="F28" s="59">
        <f t="shared" si="12"/>
        <v>-0.12903225806451613</v>
      </c>
      <c r="G28" s="54">
        <f>SUM(G19:G27)</f>
        <v>58</v>
      </c>
      <c r="H28" s="59">
        <f t="shared" si="13"/>
        <v>-6.4516129032258118E-2</v>
      </c>
      <c r="I28" s="53">
        <f>C28+E28+G28</f>
        <v>170</v>
      </c>
      <c r="J28" s="133">
        <f t="shared" si="19"/>
        <v>-8.6021505376344121E-2</v>
      </c>
      <c r="K28" s="54">
        <f>SUM(K19:K27)</f>
        <v>57.5</v>
      </c>
      <c r="L28" s="59">
        <f>((K28/$B28))-1</f>
        <v>-7.2580645161290369E-2</v>
      </c>
      <c r="M28" s="54">
        <f>SUM(M19:M27)</f>
        <v>57.5</v>
      </c>
      <c r="N28" s="59">
        <f>((M28/$B28))-1</f>
        <v>-7.2580645161290369E-2</v>
      </c>
      <c r="O28" s="54">
        <f>SUM(O19:O27)</f>
        <v>59.5</v>
      </c>
      <c r="P28" s="59">
        <f t="shared" si="17"/>
        <v>-4.0322580645161255E-2</v>
      </c>
      <c r="Q28" s="53">
        <f>K28+M28+O28</f>
        <v>174.5</v>
      </c>
      <c r="R28" s="133">
        <f>((Q28/(3*$B28)))-1</f>
        <v>-6.1827956989247257E-2</v>
      </c>
    </row>
    <row r="30" spans="1:18" ht="15.75" hidden="1" x14ac:dyDescent="0.25">
      <c r="A30" s="806" t="s">
        <v>359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</row>
    <row r="31" spans="1:18" ht="24.75" hidden="1" thickBot="1" x14ac:dyDescent="0.3">
      <c r="A31" s="10" t="s">
        <v>8</v>
      </c>
      <c r="B31" s="102" t="s">
        <v>9</v>
      </c>
      <c r="C31" s="122" t="str">
        <f t="shared" ref="C31:R31" si="25">C6</f>
        <v>JAN</v>
      </c>
      <c r="D31" s="123" t="str">
        <f t="shared" si="25"/>
        <v>%</v>
      </c>
      <c r="E31" s="122" t="str">
        <f t="shared" si="25"/>
        <v>FEV</v>
      </c>
      <c r="F31" s="123" t="str">
        <f t="shared" si="25"/>
        <v>%</v>
      </c>
      <c r="G31" s="122" t="str">
        <f t="shared" si="25"/>
        <v>MAR</v>
      </c>
      <c r="H31" s="123" t="str">
        <f t="shared" si="25"/>
        <v>%</v>
      </c>
      <c r="I31" s="124" t="str">
        <f t="shared" si="25"/>
        <v>Trimestre</v>
      </c>
      <c r="J31" s="124" t="str">
        <f t="shared" si="25"/>
        <v>%</v>
      </c>
      <c r="K31" s="122" t="str">
        <f t="shared" si="25"/>
        <v>ABR</v>
      </c>
      <c r="L31" s="123" t="str">
        <f t="shared" si="25"/>
        <v>%</v>
      </c>
      <c r="M31" s="122" t="str">
        <f t="shared" si="25"/>
        <v>MAI</v>
      </c>
      <c r="N31" s="123" t="str">
        <f t="shared" si="25"/>
        <v>%</v>
      </c>
      <c r="O31" s="122" t="str">
        <f t="shared" si="25"/>
        <v>JUN</v>
      </c>
      <c r="P31" s="123" t="str">
        <f t="shared" si="25"/>
        <v>%</v>
      </c>
      <c r="Q31" s="124" t="str">
        <f t="shared" si="25"/>
        <v>Trimestre</v>
      </c>
      <c r="R31" s="124" t="str">
        <f t="shared" si="25"/>
        <v>%</v>
      </c>
    </row>
    <row r="32" spans="1:18" ht="15.75" hidden="1" thickTop="1" x14ac:dyDescent="0.25">
      <c r="A32" s="1" t="s">
        <v>150</v>
      </c>
      <c r="B32" s="2">
        <v>2</v>
      </c>
      <c r="C32" s="104">
        <v>2</v>
      </c>
      <c r="D32" s="21">
        <f t="shared" ref="D32:D39" si="26">((C32/$B32))-1</f>
        <v>0</v>
      </c>
      <c r="E32" s="295">
        <v>2</v>
      </c>
      <c r="F32" s="21">
        <f t="shared" ref="F32:F39" si="27">((E32/$B32))-1</f>
        <v>0</v>
      </c>
      <c r="G32" s="295">
        <v>2</v>
      </c>
      <c r="H32" s="21">
        <f t="shared" ref="H32:H39" si="28">((G32/$B32))-1</f>
        <v>0</v>
      </c>
      <c r="I32" s="9">
        <f t="shared" ref="I32:I39" si="29">C32+E32+G32</f>
        <v>6</v>
      </c>
      <c r="J32" s="19">
        <f t="shared" ref="J32:J38" si="30">((I32/(3*$B32)))-1</f>
        <v>0</v>
      </c>
      <c r="K32" s="295">
        <v>2</v>
      </c>
      <c r="L32" s="18">
        <f t="shared" ref="L32:L39" si="31">((K32/$B32))-1</f>
        <v>0</v>
      </c>
      <c r="M32" s="295">
        <v>2</v>
      </c>
      <c r="N32" s="21">
        <f t="shared" ref="N32:N39" si="32">((M32/$B32))-1</f>
        <v>0</v>
      </c>
      <c r="O32" s="295">
        <v>2</v>
      </c>
      <c r="P32" s="21">
        <f t="shared" ref="P32:P39" si="33">((O32/$B32))-1</f>
        <v>0</v>
      </c>
      <c r="Q32" s="9">
        <f>K32+M32+O32</f>
        <v>6</v>
      </c>
      <c r="R32" s="19">
        <f>((Q32/(3*$B32)))-1</f>
        <v>0</v>
      </c>
    </row>
    <row r="33" spans="1:18" hidden="1" x14ac:dyDescent="0.25">
      <c r="A33" s="1" t="s">
        <v>217</v>
      </c>
      <c r="B33" s="2">
        <v>1</v>
      </c>
      <c r="C33" s="104">
        <v>1</v>
      </c>
      <c r="D33" s="21">
        <f t="shared" si="26"/>
        <v>0</v>
      </c>
      <c r="E33" s="295">
        <v>0</v>
      </c>
      <c r="F33" s="21">
        <f t="shared" si="27"/>
        <v>-1</v>
      </c>
      <c r="G33" s="295">
        <v>1</v>
      </c>
      <c r="H33" s="21">
        <f t="shared" si="28"/>
        <v>0</v>
      </c>
      <c r="I33" s="9">
        <f t="shared" si="29"/>
        <v>2</v>
      </c>
      <c r="J33" s="19">
        <f t="shared" si="30"/>
        <v>-0.33333333333333337</v>
      </c>
      <c r="K33" s="295">
        <v>1</v>
      </c>
      <c r="L33" s="18">
        <f t="shared" si="31"/>
        <v>0</v>
      </c>
      <c r="M33" s="295">
        <v>1</v>
      </c>
      <c r="N33" s="21">
        <f t="shared" si="32"/>
        <v>0</v>
      </c>
      <c r="O33" s="295">
        <v>1</v>
      </c>
      <c r="P33" s="21">
        <f t="shared" si="33"/>
        <v>0</v>
      </c>
      <c r="Q33" s="9">
        <f t="shared" ref="Q33:Q38" si="34">K33+M33+O33</f>
        <v>3</v>
      </c>
      <c r="R33" s="19">
        <f t="shared" ref="R33:R38" si="35">((Q33/(3*$B33)))-1</f>
        <v>0</v>
      </c>
    </row>
    <row r="34" spans="1:18" hidden="1" x14ac:dyDescent="0.25">
      <c r="A34" s="1" t="s">
        <v>218</v>
      </c>
      <c r="B34" s="2">
        <v>1</v>
      </c>
      <c r="C34" s="104">
        <v>0</v>
      </c>
      <c r="D34" s="21">
        <f t="shared" si="26"/>
        <v>-1</v>
      </c>
      <c r="E34" s="295">
        <v>0</v>
      </c>
      <c r="F34" s="21">
        <f t="shared" si="27"/>
        <v>-1</v>
      </c>
      <c r="G34" s="295">
        <v>0</v>
      </c>
      <c r="H34" s="21">
        <f t="shared" si="28"/>
        <v>-1</v>
      </c>
      <c r="I34" s="9">
        <f t="shared" si="29"/>
        <v>0</v>
      </c>
      <c r="J34" s="19">
        <f t="shared" si="30"/>
        <v>-1</v>
      </c>
      <c r="K34" s="295">
        <v>0</v>
      </c>
      <c r="L34" s="18">
        <f t="shared" si="31"/>
        <v>-1</v>
      </c>
      <c r="M34" s="295">
        <v>0</v>
      </c>
      <c r="N34" s="21">
        <f t="shared" si="32"/>
        <v>-1</v>
      </c>
      <c r="O34" s="295">
        <v>0</v>
      </c>
      <c r="P34" s="21">
        <f t="shared" si="33"/>
        <v>-1</v>
      </c>
      <c r="Q34" s="9">
        <f t="shared" si="34"/>
        <v>0</v>
      </c>
      <c r="R34" s="19">
        <f t="shared" si="35"/>
        <v>-1</v>
      </c>
    </row>
    <row r="35" spans="1:18" hidden="1" x14ac:dyDescent="0.25">
      <c r="A35" s="1" t="s">
        <v>168</v>
      </c>
      <c r="B35" s="2">
        <v>1</v>
      </c>
      <c r="C35" s="104">
        <v>0</v>
      </c>
      <c r="D35" s="21">
        <f t="shared" si="26"/>
        <v>-1</v>
      </c>
      <c r="E35" s="295">
        <v>0</v>
      </c>
      <c r="F35" s="21">
        <f t="shared" si="27"/>
        <v>-1</v>
      </c>
      <c r="G35" s="295">
        <v>1</v>
      </c>
      <c r="H35" s="21">
        <f t="shared" si="28"/>
        <v>0</v>
      </c>
      <c r="I35" s="9">
        <f t="shared" si="29"/>
        <v>1</v>
      </c>
      <c r="J35" s="19">
        <f t="shared" si="30"/>
        <v>-0.66666666666666674</v>
      </c>
      <c r="K35" s="295">
        <v>1</v>
      </c>
      <c r="L35" s="18">
        <f t="shared" si="31"/>
        <v>0</v>
      </c>
      <c r="M35" s="295">
        <v>1</v>
      </c>
      <c r="N35" s="21">
        <f t="shared" si="32"/>
        <v>0</v>
      </c>
      <c r="O35" s="295">
        <v>1</v>
      </c>
      <c r="P35" s="21">
        <f t="shared" si="33"/>
        <v>0</v>
      </c>
      <c r="Q35" s="9">
        <f t="shared" si="34"/>
        <v>3</v>
      </c>
      <c r="R35" s="19">
        <f t="shared" si="35"/>
        <v>0</v>
      </c>
    </row>
    <row r="36" spans="1:18" hidden="1" x14ac:dyDescent="0.25">
      <c r="A36" s="1" t="s">
        <v>207</v>
      </c>
      <c r="B36" s="2">
        <v>1</v>
      </c>
      <c r="C36" s="104">
        <v>0</v>
      </c>
      <c r="D36" s="21">
        <f t="shared" si="26"/>
        <v>-1</v>
      </c>
      <c r="E36" s="295">
        <v>1</v>
      </c>
      <c r="F36" s="21">
        <f t="shared" si="27"/>
        <v>0</v>
      </c>
      <c r="G36" s="295">
        <v>1</v>
      </c>
      <c r="H36" s="21">
        <f t="shared" si="28"/>
        <v>0</v>
      </c>
      <c r="I36" s="9">
        <f t="shared" si="29"/>
        <v>2</v>
      </c>
      <c r="J36" s="19">
        <f t="shared" si="30"/>
        <v>-0.33333333333333337</v>
      </c>
      <c r="K36" s="295">
        <v>1</v>
      </c>
      <c r="L36" s="18">
        <f t="shared" si="31"/>
        <v>0</v>
      </c>
      <c r="M36" s="295">
        <v>1</v>
      </c>
      <c r="N36" s="21">
        <f t="shared" si="32"/>
        <v>0</v>
      </c>
      <c r="O36" s="295">
        <v>1</v>
      </c>
      <c r="P36" s="21">
        <f t="shared" si="33"/>
        <v>0</v>
      </c>
      <c r="Q36" s="9">
        <f t="shared" si="34"/>
        <v>3</v>
      </c>
      <c r="R36" s="19">
        <f t="shared" si="35"/>
        <v>0</v>
      </c>
    </row>
    <row r="37" spans="1:18" hidden="1" x14ac:dyDescent="0.25">
      <c r="A37" s="206" t="s">
        <v>153</v>
      </c>
      <c r="B37" s="207">
        <v>2</v>
      </c>
      <c r="C37" s="61">
        <v>1</v>
      </c>
      <c r="D37" s="21">
        <f t="shared" si="26"/>
        <v>-0.5</v>
      </c>
      <c r="E37" s="295">
        <v>1</v>
      </c>
      <c r="F37" s="21">
        <f t="shared" si="27"/>
        <v>-0.5</v>
      </c>
      <c r="G37" s="295">
        <v>1</v>
      </c>
      <c r="H37" s="21">
        <f t="shared" si="28"/>
        <v>-0.5</v>
      </c>
      <c r="I37" s="305">
        <f t="shared" si="29"/>
        <v>3</v>
      </c>
      <c r="J37" s="20">
        <f t="shared" si="30"/>
        <v>-0.5</v>
      </c>
      <c r="K37" s="307">
        <v>1</v>
      </c>
      <c r="L37" s="29">
        <f t="shared" si="31"/>
        <v>-0.5</v>
      </c>
      <c r="M37" s="295">
        <v>2</v>
      </c>
      <c r="N37" s="21">
        <f t="shared" si="32"/>
        <v>0</v>
      </c>
      <c r="O37" s="295">
        <v>2</v>
      </c>
      <c r="P37" s="21">
        <f t="shared" si="33"/>
        <v>0</v>
      </c>
      <c r="Q37" s="305">
        <f t="shared" si="34"/>
        <v>5</v>
      </c>
      <c r="R37" s="20">
        <f t="shared" si="35"/>
        <v>-0.16666666666666663</v>
      </c>
    </row>
    <row r="38" spans="1:18" ht="15.75" hidden="1" thickBot="1" x14ac:dyDescent="0.3">
      <c r="A38" s="374" t="s">
        <v>281</v>
      </c>
      <c r="B38" s="375">
        <v>2</v>
      </c>
      <c r="C38" s="376">
        <v>2</v>
      </c>
      <c r="D38" s="455">
        <f t="shared" si="26"/>
        <v>0</v>
      </c>
      <c r="E38" s="376">
        <v>2</v>
      </c>
      <c r="F38" s="455">
        <f t="shared" si="27"/>
        <v>0</v>
      </c>
      <c r="G38" s="376">
        <v>2</v>
      </c>
      <c r="H38" s="455">
        <f t="shared" si="28"/>
        <v>0</v>
      </c>
      <c r="I38" s="377">
        <f t="shared" si="29"/>
        <v>6</v>
      </c>
      <c r="J38" s="378">
        <f t="shared" si="30"/>
        <v>0</v>
      </c>
      <c r="K38" s="376">
        <v>2</v>
      </c>
      <c r="L38" s="379">
        <f t="shared" si="31"/>
        <v>0</v>
      </c>
      <c r="M38" s="456">
        <v>2</v>
      </c>
      <c r="N38" s="455">
        <f t="shared" si="32"/>
        <v>0</v>
      </c>
      <c r="O38" s="456">
        <v>2</v>
      </c>
      <c r="P38" s="455">
        <f t="shared" si="33"/>
        <v>0</v>
      </c>
      <c r="Q38" s="377">
        <f t="shared" si="34"/>
        <v>6</v>
      </c>
      <c r="R38" s="378">
        <f t="shared" si="35"/>
        <v>0</v>
      </c>
    </row>
    <row r="39" spans="1:18" ht="15.75" hidden="1" thickBot="1" x14ac:dyDescent="0.3">
      <c r="A39" s="50" t="s">
        <v>2</v>
      </c>
      <c r="B39" s="52">
        <f>SUM(B32:B38)</f>
        <v>10</v>
      </c>
      <c r="C39" s="54">
        <f>SUM(C32:C38)</f>
        <v>6</v>
      </c>
      <c r="D39" s="119">
        <f t="shared" si="26"/>
        <v>-0.4</v>
      </c>
      <c r="E39" s="54">
        <f>SUM(E32:E38)</f>
        <v>6</v>
      </c>
      <c r="F39" s="119">
        <f t="shared" si="27"/>
        <v>-0.4</v>
      </c>
      <c r="G39" s="54">
        <f>SUM(G32:G38)</f>
        <v>8</v>
      </c>
      <c r="H39" s="119">
        <f t="shared" si="28"/>
        <v>-0.19999999999999996</v>
      </c>
      <c r="I39" s="53">
        <f t="shared" si="29"/>
        <v>20</v>
      </c>
      <c r="J39" s="399">
        <f t="shared" ref="J39" si="36">((I39/(3*$B39)))-1</f>
        <v>-0.33333333333333337</v>
      </c>
      <c r="K39" s="54">
        <v>8</v>
      </c>
      <c r="L39" s="59">
        <f t="shared" si="31"/>
        <v>-0.19999999999999996</v>
      </c>
      <c r="M39" s="54">
        <f>SUM(M32:M38)</f>
        <v>9</v>
      </c>
      <c r="N39" s="119">
        <f t="shared" si="32"/>
        <v>-9.9999999999999978E-2</v>
      </c>
      <c r="O39" s="54">
        <f>SUM(O32:O38)</f>
        <v>9</v>
      </c>
      <c r="P39" s="119">
        <f t="shared" si="33"/>
        <v>-9.9999999999999978E-2</v>
      </c>
      <c r="Q39" s="53">
        <f>K39+M39+O39</f>
        <v>26</v>
      </c>
      <c r="R39" s="400">
        <f>((Q39/(3*$B39)))-1</f>
        <v>-0.1333333333333333</v>
      </c>
    </row>
    <row r="40" spans="1:18" hidden="1" x14ac:dyDescent="0.25"/>
    <row r="41" spans="1:18" ht="15.75" hidden="1" x14ac:dyDescent="0.25">
      <c r="A41" s="801" t="s">
        <v>360</v>
      </c>
      <c r="B41" s="802"/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</row>
    <row r="42" spans="1:18" ht="24.75" hidden="1" thickBot="1" x14ac:dyDescent="0.3">
      <c r="A42" s="93" t="s">
        <v>8</v>
      </c>
      <c r="B42" s="94" t="s">
        <v>9</v>
      </c>
      <c r="C42" s="122" t="str">
        <f t="shared" ref="C42:R42" si="37">C6</f>
        <v>JAN</v>
      </c>
      <c r="D42" s="123" t="str">
        <f t="shared" si="37"/>
        <v>%</v>
      </c>
      <c r="E42" s="122" t="str">
        <f t="shared" si="37"/>
        <v>FEV</v>
      </c>
      <c r="F42" s="123" t="str">
        <f t="shared" si="37"/>
        <v>%</v>
      </c>
      <c r="G42" s="122" t="str">
        <f t="shared" si="37"/>
        <v>MAR</v>
      </c>
      <c r="H42" s="123" t="str">
        <f t="shared" si="37"/>
        <v>%</v>
      </c>
      <c r="I42" s="124" t="str">
        <f t="shared" si="37"/>
        <v>Trimestre</v>
      </c>
      <c r="J42" s="124" t="str">
        <f t="shared" si="37"/>
        <v>%</v>
      </c>
      <c r="K42" s="122" t="str">
        <f t="shared" si="37"/>
        <v>ABR</v>
      </c>
      <c r="L42" s="123" t="str">
        <f t="shared" si="37"/>
        <v>%</v>
      </c>
      <c r="M42" s="122" t="str">
        <f t="shared" si="37"/>
        <v>MAI</v>
      </c>
      <c r="N42" s="123" t="str">
        <f t="shared" si="37"/>
        <v>%</v>
      </c>
      <c r="O42" s="122" t="str">
        <f t="shared" si="37"/>
        <v>JUN</v>
      </c>
      <c r="P42" s="123" t="str">
        <f t="shared" si="37"/>
        <v>%</v>
      </c>
      <c r="Q42" s="124" t="str">
        <f t="shared" si="37"/>
        <v>Trimestre</v>
      </c>
      <c r="R42" s="124" t="str">
        <f t="shared" si="37"/>
        <v>%</v>
      </c>
    </row>
    <row r="43" spans="1:18" ht="15.75" hidden="1" thickTop="1" x14ac:dyDescent="0.25">
      <c r="A43" s="310" t="s">
        <v>172</v>
      </c>
      <c r="B43" s="315">
        <v>12</v>
      </c>
      <c r="C43" s="311">
        <v>9</v>
      </c>
      <c r="D43" s="314">
        <f>((C43/$B43))-1</f>
        <v>-0.25</v>
      </c>
      <c r="E43" s="311">
        <v>9</v>
      </c>
      <c r="F43" s="314">
        <f>((E43/$B43))-1</f>
        <v>-0.25</v>
      </c>
      <c r="G43" s="311">
        <v>9</v>
      </c>
      <c r="H43" s="314">
        <f>((G43/$B43))-1</f>
        <v>-0.25</v>
      </c>
      <c r="I43" s="313">
        <f t="shared" ref="I43:I45" si="38">C43+E43+G43</f>
        <v>27</v>
      </c>
      <c r="J43" s="318">
        <f t="shared" ref="J43:J45" si="39">((I43/(3*$B43)))-1</f>
        <v>-0.25</v>
      </c>
      <c r="K43" s="311">
        <v>8</v>
      </c>
      <c r="L43" s="314">
        <f>((K43/$B43))-1</f>
        <v>-0.33333333333333337</v>
      </c>
      <c r="M43" s="311">
        <v>9</v>
      </c>
      <c r="N43" s="314">
        <f>((M43/$B43))-1</f>
        <v>-0.25</v>
      </c>
      <c r="O43" s="311">
        <v>10</v>
      </c>
      <c r="P43" s="314">
        <f>((O43/$B43))-1</f>
        <v>-0.16666666666666663</v>
      </c>
      <c r="Q43" s="313">
        <f t="shared" ref="Q43:Q45" si="40">K43+M43+O43</f>
        <v>27</v>
      </c>
      <c r="R43" s="318">
        <f t="shared" ref="R43:R45" si="41">((Q43/(3*$B43)))-1</f>
        <v>-0.25</v>
      </c>
    </row>
    <row r="44" spans="1:18" ht="15.75" hidden="1" thickBot="1" x14ac:dyDescent="0.3">
      <c r="A44" s="323" t="s">
        <v>162</v>
      </c>
      <c r="B44" s="397">
        <v>12</v>
      </c>
      <c r="C44" s="329">
        <v>8</v>
      </c>
      <c r="D44" s="330">
        <f>((C44/$B44))-1</f>
        <v>-0.33333333333333337</v>
      </c>
      <c r="E44" s="329">
        <v>8</v>
      </c>
      <c r="F44" s="330">
        <f>((E44/$B44))-1</f>
        <v>-0.33333333333333337</v>
      </c>
      <c r="G44" s="329">
        <v>10</v>
      </c>
      <c r="H44" s="330">
        <f>((G44/$B44))-1</f>
        <v>-0.16666666666666663</v>
      </c>
      <c r="I44" s="331">
        <f t="shared" si="38"/>
        <v>26</v>
      </c>
      <c r="J44" s="332">
        <f t="shared" si="39"/>
        <v>-0.27777777777777779</v>
      </c>
      <c r="K44" s="329">
        <v>9</v>
      </c>
      <c r="L44" s="330">
        <f>((K44/$B44))-1</f>
        <v>-0.25</v>
      </c>
      <c r="M44" s="329">
        <v>9</v>
      </c>
      <c r="N44" s="330">
        <f>((M44/$B44))-1</f>
        <v>-0.25</v>
      </c>
      <c r="O44" s="329">
        <v>10</v>
      </c>
      <c r="P44" s="330">
        <f>((O44/$B44))-1</f>
        <v>-0.16666666666666663</v>
      </c>
      <c r="Q44" s="331">
        <f t="shared" si="40"/>
        <v>28</v>
      </c>
      <c r="R44" s="332">
        <f t="shared" si="41"/>
        <v>-0.22222222222222221</v>
      </c>
    </row>
    <row r="45" spans="1:18" ht="15.75" hidden="1" thickBot="1" x14ac:dyDescent="0.3">
      <c r="A45" s="50" t="s">
        <v>2</v>
      </c>
      <c r="B45" s="52">
        <f>SUM(B43:B44)</f>
        <v>24</v>
      </c>
      <c r="C45" s="54">
        <f>SUM(C43:C44)</f>
        <v>17</v>
      </c>
      <c r="D45" s="59">
        <f t="shared" ref="D45" si="42">((C45/$B45))-1</f>
        <v>-0.29166666666666663</v>
      </c>
      <c r="E45" s="54">
        <f>SUM(E43:E44)</f>
        <v>17</v>
      </c>
      <c r="F45" s="59">
        <f t="shared" ref="F45" si="43">((E45/$B45))-1</f>
        <v>-0.29166666666666663</v>
      </c>
      <c r="G45" s="54">
        <f>SUM(G43:G44)</f>
        <v>19</v>
      </c>
      <c r="H45" s="59">
        <f t="shared" ref="H45" si="44">((G45/$B45))-1</f>
        <v>-0.20833333333333337</v>
      </c>
      <c r="I45" s="53">
        <f t="shared" si="38"/>
        <v>53</v>
      </c>
      <c r="J45" s="60">
        <f t="shared" si="39"/>
        <v>-0.26388888888888884</v>
      </c>
      <c r="K45" s="54">
        <f>SUM(K43:K44)</f>
        <v>17</v>
      </c>
      <c r="L45" s="59">
        <f t="shared" ref="L45" si="45">((K45/$B45))-1</f>
        <v>-0.29166666666666663</v>
      </c>
      <c r="M45" s="54">
        <f>SUM(M43:M44)</f>
        <v>18</v>
      </c>
      <c r="N45" s="59">
        <f t="shared" ref="N45" si="46">((M45/$B45))-1</f>
        <v>-0.25</v>
      </c>
      <c r="O45" s="54">
        <f>SUM(O43:O44)</f>
        <v>20</v>
      </c>
      <c r="P45" s="59">
        <f t="shared" ref="P45" si="47">((O45/$B45))-1</f>
        <v>-0.16666666666666663</v>
      </c>
      <c r="Q45" s="53">
        <f t="shared" si="40"/>
        <v>55</v>
      </c>
      <c r="R45" s="398">
        <f t="shared" si="41"/>
        <v>-0.23611111111111116</v>
      </c>
    </row>
  </sheetData>
  <mergeCells count="6">
    <mergeCell ref="A41:R41"/>
    <mergeCell ref="A30:R30"/>
    <mergeCell ref="A5:R5"/>
    <mergeCell ref="A17:R17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2" orientation="landscape" r:id="rId1"/>
  <headerFooter>
    <oddFooter>&amp;L&amp;10Fonte: Sistema WEBSAASS / SMS&amp;R&amp;10pag. &amp;P</oddFooter>
  </headerFooter>
  <ignoredErrors>
    <ignoredError sqref="F22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08FF-3801-4893-8A92-EF95AA9B7BCC}">
  <sheetPr>
    <tabColor rgb="FFC00000"/>
    <pageSetUpPr fitToPage="1"/>
  </sheetPr>
  <dimension ref="A2:R45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4.42578125" customWidth="1"/>
    <col min="2" max="3" width="9" bestFit="1" customWidth="1"/>
    <col min="4" max="4" width="10.140625" bestFit="1" customWidth="1"/>
    <col min="5" max="5" width="9" bestFit="1" customWidth="1"/>
    <col min="6" max="6" width="10.140625" bestFit="1" customWidth="1"/>
    <col min="7" max="7" width="9" bestFit="1" customWidth="1"/>
    <col min="8" max="8" width="10.140625" bestFit="1" customWidth="1"/>
    <col min="9" max="9" width="9.7109375" customWidth="1"/>
    <col min="10" max="10" width="10.140625" bestFit="1" customWidth="1"/>
    <col min="11" max="11" width="9" bestFit="1" customWidth="1"/>
    <col min="12" max="12" width="9.85546875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9.5703125" customWidth="1"/>
    <col min="18" max="18" width="9.4257812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357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158</v>
      </c>
      <c r="B7" s="741">
        <v>7200</v>
      </c>
      <c r="C7" s="204">
        <v>4731</v>
      </c>
      <c r="D7" s="209">
        <f t="shared" ref="D7:D13" si="0">((C7/$B7))-1</f>
        <v>-0.34291666666666665</v>
      </c>
      <c r="E7" s="204">
        <v>6115</v>
      </c>
      <c r="F7" s="209">
        <f t="shared" ref="F7:F15" si="1">((E7/$B7))-1</f>
        <v>-0.15069444444444446</v>
      </c>
      <c r="G7" s="204">
        <v>6352</v>
      </c>
      <c r="H7" s="209">
        <f t="shared" ref="H7:H15" si="2">((G7/$B7))-1</f>
        <v>-0.11777777777777776</v>
      </c>
      <c r="I7" s="210">
        <f t="shared" ref="I7:I15" si="3">C7+E7+G7</f>
        <v>17198</v>
      </c>
      <c r="J7" s="211">
        <f t="shared" ref="J7:J15" si="4">((I7/(3*$B7)))-1</f>
        <v>-0.20379629629629625</v>
      </c>
      <c r="K7" s="204">
        <v>6472</v>
      </c>
      <c r="L7" s="209">
        <f t="shared" ref="L7:L15" si="5">((K7/$B7))-1</f>
        <v>-0.10111111111111115</v>
      </c>
      <c r="M7" s="204">
        <v>6358</v>
      </c>
      <c r="N7" s="209">
        <f t="shared" ref="N7:N15" si="6">((M7/$B7))-1</f>
        <v>-0.11694444444444441</v>
      </c>
      <c r="O7" s="204">
        <v>6298</v>
      </c>
      <c r="P7" s="209">
        <f t="shared" ref="P7:P15" si="7">((O7/$B7))-1</f>
        <v>-0.12527777777777782</v>
      </c>
      <c r="Q7" s="210">
        <f t="shared" ref="Q7:Q15" si="8">K7+M7+O7</f>
        <v>19128</v>
      </c>
      <c r="R7" s="211">
        <f t="shared" ref="R7:R15" si="9">((Q7/(3*$B7)))-1</f>
        <v>-0.11444444444444446</v>
      </c>
    </row>
    <row r="8" spans="1:18" x14ac:dyDescent="0.25">
      <c r="A8" s="117" t="s">
        <v>159</v>
      </c>
      <c r="B8" s="738">
        <v>2496</v>
      </c>
      <c r="C8" s="736">
        <v>1604</v>
      </c>
      <c r="D8" s="209">
        <f t="shared" si="0"/>
        <v>-0.35737179487179482</v>
      </c>
      <c r="E8" s="736">
        <v>2764</v>
      </c>
      <c r="F8" s="209">
        <f t="shared" si="1"/>
        <v>0.10737179487179493</v>
      </c>
      <c r="G8" s="736">
        <v>2556</v>
      </c>
      <c r="H8" s="209">
        <f t="shared" si="2"/>
        <v>2.4038461538461453E-2</v>
      </c>
      <c r="I8" s="210">
        <f t="shared" si="3"/>
        <v>6924</v>
      </c>
      <c r="J8" s="211">
        <f t="shared" si="4"/>
        <v>-7.5320512820512775E-2</v>
      </c>
      <c r="K8" s="736">
        <v>2878</v>
      </c>
      <c r="L8" s="209">
        <f t="shared" si="5"/>
        <v>0.15304487179487181</v>
      </c>
      <c r="M8" s="736">
        <v>2310</v>
      </c>
      <c r="N8" s="209">
        <f t="shared" si="6"/>
        <v>-7.4519230769230727E-2</v>
      </c>
      <c r="O8" s="736">
        <v>2066</v>
      </c>
      <c r="P8" s="209">
        <f t="shared" si="7"/>
        <v>-0.17227564102564108</v>
      </c>
      <c r="Q8" s="210">
        <f t="shared" si="8"/>
        <v>7254</v>
      </c>
      <c r="R8" s="211">
        <f t="shared" si="9"/>
        <v>-3.125E-2</v>
      </c>
    </row>
    <row r="9" spans="1:18" x14ac:dyDescent="0.25">
      <c r="A9" s="117" t="s">
        <v>160</v>
      </c>
      <c r="B9" s="738">
        <v>936</v>
      </c>
      <c r="C9" s="736">
        <v>902</v>
      </c>
      <c r="D9" s="209">
        <f t="shared" si="0"/>
        <v>-3.6324786324786307E-2</v>
      </c>
      <c r="E9" s="736">
        <v>893</v>
      </c>
      <c r="F9" s="209">
        <f t="shared" si="1"/>
        <v>-4.5940170940170888E-2</v>
      </c>
      <c r="G9" s="736">
        <v>967</v>
      </c>
      <c r="H9" s="209">
        <f t="shared" si="2"/>
        <v>3.3119658119658224E-2</v>
      </c>
      <c r="I9" s="210">
        <f t="shared" si="3"/>
        <v>2762</v>
      </c>
      <c r="J9" s="211">
        <f t="shared" si="4"/>
        <v>-1.6381766381766361E-2</v>
      </c>
      <c r="K9" s="736">
        <v>910</v>
      </c>
      <c r="L9" s="209">
        <f t="shared" si="5"/>
        <v>-2.777777777777779E-2</v>
      </c>
      <c r="M9" s="736">
        <v>893</v>
      </c>
      <c r="N9" s="209">
        <f t="shared" si="6"/>
        <v>-4.5940170940170888E-2</v>
      </c>
      <c r="O9" s="736">
        <v>608</v>
      </c>
      <c r="P9" s="209">
        <f t="shared" si="7"/>
        <v>-0.3504273504273504</v>
      </c>
      <c r="Q9" s="210">
        <f t="shared" si="8"/>
        <v>2411</v>
      </c>
      <c r="R9" s="211">
        <f t="shared" si="9"/>
        <v>-0.14138176638176636</v>
      </c>
    </row>
    <row r="10" spans="1:18" x14ac:dyDescent="0.25">
      <c r="A10" s="384" t="s">
        <v>161</v>
      </c>
      <c r="B10" s="752">
        <v>526</v>
      </c>
      <c r="C10" s="456">
        <v>595</v>
      </c>
      <c r="D10" s="728">
        <f t="shared" si="0"/>
        <v>0.13117870722433467</v>
      </c>
      <c r="E10" s="456">
        <v>713</v>
      </c>
      <c r="F10" s="728">
        <f t="shared" si="1"/>
        <v>0.35551330798479097</v>
      </c>
      <c r="G10" s="456">
        <v>415</v>
      </c>
      <c r="H10" s="728">
        <f t="shared" si="2"/>
        <v>-0.21102661596958172</v>
      </c>
      <c r="I10" s="729">
        <f t="shared" si="3"/>
        <v>1723</v>
      </c>
      <c r="J10" s="730">
        <f t="shared" si="4"/>
        <v>9.1888466413181158E-2</v>
      </c>
      <c r="K10" s="456">
        <v>597</v>
      </c>
      <c r="L10" s="728">
        <f t="shared" si="5"/>
        <v>0.13498098859315588</v>
      </c>
      <c r="M10" s="456">
        <v>506</v>
      </c>
      <c r="N10" s="728">
        <f t="shared" si="6"/>
        <v>-3.802281368821292E-2</v>
      </c>
      <c r="O10" s="456">
        <v>492</v>
      </c>
      <c r="P10" s="728">
        <f t="shared" si="7"/>
        <v>-6.4638783269961975E-2</v>
      </c>
      <c r="Q10" s="729">
        <f t="shared" si="8"/>
        <v>1595</v>
      </c>
      <c r="R10" s="730">
        <f t="shared" si="9"/>
        <v>1.0773130544993625E-2</v>
      </c>
    </row>
    <row r="11" spans="1:18" x14ac:dyDescent="0.25">
      <c r="A11" s="310" t="s">
        <v>162</v>
      </c>
      <c r="B11" s="315">
        <v>789</v>
      </c>
      <c r="C11" s="311">
        <v>453</v>
      </c>
      <c r="D11" s="314">
        <f t="shared" si="0"/>
        <v>-0.42585551330798477</v>
      </c>
      <c r="E11" s="311">
        <v>258</v>
      </c>
      <c r="F11" s="314">
        <f t="shared" si="1"/>
        <v>-0.6730038022813688</v>
      </c>
      <c r="G11" s="311">
        <v>295</v>
      </c>
      <c r="H11" s="314">
        <f t="shared" si="2"/>
        <v>-0.62610899873257286</v>
      </c>
      <c r="I11" s="313">
        <f t="shared" si="3"/>
        <v>1006</v>
      </c>
      <c r="J11" s="318">
        <f t="shared" si="4"/>
        <v>-0.57498943810730885</v>
      </c>
      <c r="K11" s="311">
        <v>490</v>
      </c>
      <c r="L11" s="314">
        <f t="shared" si="5"/>
        <v>-0.37896070975918883</v>
      </c>
      <c r="M11" s="311">
        <v>377</v>
      </c>
      <c r="N11" s="314">
        <f t="shared" si="6"/>
        <v>-0.52217997465145749</v>
      </c>
      <c r="O11" s="311">
        <v>369</v>
      </c>
      <c r="P11" s="314">
        <f t="shared" si="7"/>
        <v>-0.53231939163498099</v>
      </c>
      <c r="Q11" s="313">
        <f t="shared" si="8"/>
        <v>1236</v>
      </c>
      <c r="R11" s="318">
        <f t="shared" si="9"/>
        <v>-0.47782002534854251</v>
      </c>
    </row>
    <row r="12" spans="1:18" x14ac:dyDescent="0.25">
      <c r="A12" s="310" t="s">
        <v>163</v>
      </c>
      <c r="B12" s="315">
        <v>789</v>
      </c>
      <c r="C12" s="311">
        <v>429</v>
      </c>
      <c r="D12" s="314">
        <f t="shared" si="0"/>
        <v>-0.45627376425855515</v>
      </c>
      <c r="E12" s="311">
        <v>720</v>
      </c>
      <c r="F12" s="314">
        <f t="shared" si="1"/>
        <v>-8.7452471482889704E-2</v>
      </c>
      <c r="G12" s="311">
        <v>480</v>
      </c>
      <c r="H12" s="314">
        <f t="shared" si="2"/>
        <v>-0.39163498098859317</v>
      </c>
      <c r="I12" s="313">
        <f t="shared" si="3"/>
        <v>1629</v>
      </c>
      <c r="J12" s="318">
        <f t="shared" si="4"/>
        <v>-0.31178707224334601</v>
      </c>
      <c r="K12" s="311">
        <v>502</v>
      </c>
      <c r="L12" s="314">
        <f t="shared" si="5"/>
        <v>-0.36375158428390364</v>
      </c>
      <c r="M12" s="311">
        <v>290</v>
      </c>
      <c r="N12" s="314">
        <f t="shared" si="6"/>
        <v>-0.63244613434727504</v>
      </c>
      <c r="O12" s="311">
        <v>375</v>
      </c>
      <c r="P12" s="314">
        <f t="shared" si="7"/>
        <v>-0.52471482889733845</v>
      </c>
      <c r="Q12" s="313">
        <f t="shared" si="8"/>
        <v>1167</v>
      </c>
      <c r="R12" s="318">
        <f t="shared" si="9"/>
        <v>-0.50697084917617241</v>
      </c>
    </row>
    <row r="13" spans="1:18" ht="24" x14ac:dyDescent="0.25">
      <c r="A13" s="464" t="s">
        <v>188</v>
      </c>
      <c r="B13" s="421">
        <v>216</v>
      </c>
      <c r="C13" s="311">
        <v>228</v>
      </c>
      <c r="D13" s="339">
        <f t="shared" si="0"/>
        <v>5.555555555555558E-2</v>
      </c>
      <c r="E13" s="311">
        <v>309</v>
      </c>
      <c r="F13" s="339">
        <f t="shared" si="1"/>
        <v>0.43055555555555558</v>
      </c>
      <c r="G13" s="311">
        <v>139</v>
      </c>
      <c r="H13" s="422">
        <f t="shared" si="2"/>
        <v>-0.35648148148148151</v>
      </c>
      <c r="I13" s="313">
        <f t="shared" si="3"/>
        <v>676</v>
      </c>
      <c r="J13" s="340">
        <f t="shared" si="4"/>
        <v>4.3209876543209846E-2</v>
      </c>
      <c r="K13" s="311">
        <v>464</v>
      </c>
      <c r="L13" s="339">
        <f t="shared" si="5"/>
        <v>1.1481481481481484</v>
      </c>
      <c r="M13" s="311">
        <v>258</v>
      </c>
      <c r="N13" s="339">
        <f t="shared" si="6"/>
        <v>0.19444444444444442</v>
      </c>
      <c r="O13" s="311">
        <v>340</v>
      </c>
      <c r="P13" s="422">
        <f t="shared" si="7"/>
        <v>0.57407407407407418</v>
      </c>
      <c r="Q13" s="313">
        <f t="shared" si="8"/>
        <v>1062</v>
      </c>
      <c r="R13" s="340">
        <f t="shared" si="9"/>
        <v>0.63888888888888884</v>
      </c>
    </row>
    <row r="14" spans="1:18" ht="15.75" customHeight="1" thickBot="1" x14ac:dyDescent="0.3">
      <c r="A14" s="855" t="s">
        <v>4</v>
      </c>
      <c r="B14" s="423">
        <v>756</v>
      </c>
      <c r="C14" s="329">
        <v>876</v>
      </c>
      <c r="D14" s="330">
        <f>((C14/$B$14))-1</f>
        <v>0.15873015873015883</v>
      </c>
      <c r="E14" s="329">
        <v>1153</v>
      </c>
      <c r="F14" s="402">
        <f t="shared" si="1"/>
        <v>0.52513227513227512</v>
      </c>
      <c r="G14" s="329">
        <v>505</v>
      </c>
      <c r="H14" s="424">
        <f t="shared" si="2"/>
        <v>-0.33201058201058198</v>
      </c>
      <c r="I14" s="331">
        <f t="shared" si="3"/>
        <v>2534</v>
      </c>
      <c r="J14" s="407">
        <f t="shared" si="4"/>
        <v>0.11728395061728403</v>
      </c>
      <c r="K14" s="329">
        <v>969</v>
      </c>
      <c r="L14" s="402">
        <f t="shared" si="5"/>
        <v>0.28174603174603186</v>
      </c>
      <c r="M14" s="329">
        <v>570</v>
      </c>
      <c r="N14" s="402">
        <f t="shared" si="6"/>
        <v>-0.24603174603174605</v>
      </c>
      <c r="O14" s="329">
        <v>884</v>
      </c>
      <c r="P14" s="424">
        <f t="shared" si="7"/>
        <v>0.1693121693121693</v>
      </c>
      <c r="Q14" s="331">
        <f t="shared" si="8"/>
        <v>2423</v>
      </c>
      <c r="R14" s="407">
        <f t="shared" si="9"/>
        <v>6.8342151675484963E-2</v>
      </c>
    </row>
    <row r="15" spans="1:18" ht="15.75" customHeight="1" thickBot="1" x14ac:dyDescent="0.3">
      <c r="A15" s="50" t="s">
        <v>2</v>
      </c>
      <c r="B15" s="52">
        <f>SUM(B6:B14)</f>
        <v>13708</v>
      </c>
      <c r="C15" s="54">
        <f>SUM(C7:C14)</f>
        <v>9818</v>
      </c>
      <c r="D15" s="59">
        <f>((C15/$B15))-1</f>
        <v>-0.28377589728625618</v>
      </c>
      <c r="E15" s="54">
        <f>SUM(E7:E14)</f>
        <v>12925</v>
      </c>
      <c r="F15" s="59">
        <f t="shared" si="1"/>
        <v>-5.7119929967901939E-2</v>
      </c>
      <c r="G15" s="54">
        <f>SUM(G7:G14)</f>
        <v>11709</v>
      </c>
      <c r="H15" s="59">
        <f t="shared" si="2"/>
        <v>-0.14582725415815578</v>
      </c>
      <c r="I15" s="53">
        <f t="shared" si="3"/>
        <v>34452</v>
      </c>
      <c r="J15" s="60">
        <f t="shared" si="4"/>
        <v>-0.16224102713743804</v>
      </c>
      <c r="K15" s="54">
        <f>SUM(K7:K14)</f>
        <v>13282</v>
      </c>
      <c r="L15" s="59">
        <f t="shared" si="5"/>
        <v>-3.107674350744094E-2</v>
      </c>
      <c r="M15" s="54">
        <f>SUM(M7:M14)</f>
        <v>11562</v>
      </c>
      <c r="N15" s="59">
        <f t="shared" si="6"/>
        <v>-0.15655091917128683</v>
      </c>
      <c r="O15" s="54">
        <f>SUM(O7:O14)</f>
        <v>11432</v>
      </c>
      <c r="P15" s="59">
        <f t="shared" si="7"/>
        <v>-0.16603443244820548</v>
      </c>
      <c r="Q15" s="53">
        <f t="shared" si="8"/>
        <v>36276</v>
      </c>
      <c r="R15" s="398">
        <f t="shared" si="9"/>
        <v>-0.11788736504231101</v>
      </c>
    </row>
    <row r="16" spans="1:18" ht="15" hidden="1" customHeight="1" x14ac:dyDescent="0.25">
      <c r="A16" s="780"/>
      <c r="B16" s="779"/>
      <c r="C16" s="778"/>
      <c r="D16" s="777"/>
      <c r="E16" s="778"/>
      <c r="F16" s="777"/>
      <c r="G16" s="778"/>
      <c r="H16" s="777"/>
      <c r="I16" s="776"/>
      <c r="J16" s="775"/>
      <c r="K16" s="778"/>
      <c r="L16" s="777"/>
      <c r="M16" s="778"/>
      <c r="N16" s="777"/>
      <c r="O16" s="778"/>
      <c r="P16" s="777"/>
      <c r="Q16" s="776"/>
      <c r="R16" s="775"/>
    </row>
    <row r="17" spans="1:18" ht="15.75" hidden="1" customHeight="1" x14ac:dyDescent="0.25">
      <c r="A17" s="809" t="s">
        <v>358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</row>
    <row r="18" spans="1:18" ht="24.75" hidden="1" customHeight="1" thickBot="1" x14ac:dyDescent="0.3">
      <c r="A18" s="120" t="s">
        <v>8</v>
      </c>
      <c r="B18" s="121" t="s">
        <v>9</v>
      </c>
      <c r="C18" s="122" t="str">
        <f t="shared" ref="C18:R18" si="10">C6</f>
        <v>JUL</v>
      </c>
      <c r="D18" s="123" t="str">
        <f t="shared" si="10"/>
        <v>%</v>
      </c>
      <c r="E18" s="122" t="str">
        <f t="shared" si="10"/>
        <v>AGO</v>
      </c>
      <c r="F18" s="123" t="str">
        <f t="shared" si="10"/>
        <v>%</v>
      </c>
      <c r="G18" s="122" t="str">
        <f t="shared" si="10"/>
        <v>SET</v>
      </c>
      <c r="H18" s="123" t="str">
        <f t="shared" si="10"/>
        <v>%</v>
      </c>
      <c r="I18" s="124" t="str">
        <f t="shared" si="10"/>
        <v>Trimestre</v>
      </c>
      <c r="J18" s="124" t="str">
        <f t="shared" si="10"/>
        <v>%</v>
      </c>
      <c r="K18" s="122" t="str">
        <f t="shared" si="10"/>
        <v>OUT</v>
      </c>
      <c r="L18" s="123" t="str">
        <f t="shared" si="10"/>
        <v>%</v>
      </c>
      <c r="M18" s="122" t="str">
        <f t="shared" si="10"/>
        <v>NOV</v>
      </c>
      <c r="N18" s="123" t="str">
        <f t="shared" si="10"/>
        <v>%</v>
      </c>
      <c r="O18" s="122" t="str">
        <f t="shared" si="10"/>
        <v>DEZ</v>
      </c>
      <c r="P18" s="123" t="str">
        <f t="shared" si="10"/>
        <v>%</v>
      </c>
      <c r="Q18" s="124" t="str">
        <f t="shared" si="10"/>
        <v>Trimestre</v>
      </c>
      <c r="R18" s="124" t="str">
        <f t="shared" si="10"/>
        <v>%</v>
      </c>
    </row>
    <row r="19" spans="1:18" ht="15.75" hidden="1" customHeight="1" thickTop="1" x14ac:dyDescent="0.25">
      <c r="A19" s="117" t="s">
        <v>164</v>
      </c>
      <c r="B19" s="741">
        <v>36</v>
      </c>
      <c r="C19" s="204">
        <v>34</v>
      </c>
      <c r="D19" s="209">
        <f t="shared" ref="D19:D28" si="11">((C19/$B19))-1</f>
        <v>-5.555555555555558E-2</v>
      </c>
      <c r="E19" s="204">
        <v>36</v>
      </c>
      <c r="F19" s="209">
        <f t="shared" ref="F19:F28" si="12">((E19/$B19))-1</f>
        <v>0</v>
      </c>
      <c r="G19" s="204">
        <v>33</v>
      </c>
      <c r="H19" s="209">
        <f t="shared" ref="H19:H28" si="13">((G19/$B19))-1</f>
        <v>-8.333333333333337E-2</v>
      </c>
      <c r="I19" s="210">
        <f t="shared" ref="I19:I28" si="14">C19+E19+G19</f>
        <v>103</v>
      </c>
      <c r="J19" s="211">
        <f t="shared" ref="J19:J28" si="15">((I19/(3*$B19)))-1</f>
        <v>-4.629629629629628E-2</v>
      </c>
      <c r="K19" s="204">
        <v>34</v>
      </c>
      <c r="L19" s="209">
        <f t="shared" ref="L19:L28" si="16">((K19/$B19))-1</f>
        <v>-5.555555555555558E-2</v>
      </c>
      <c r="M19" s="204"/>
      <c r="N19" s="209">
        <f t="shared" ref="N19:N28" si="17">((M19/$B19))-1</f>
        <v>-1</v>
      </c>
      <c r="O19" s="204"/>
      <c r="P19" s="209">
        <f t="shared" ref="P19:P28" si="18">((O19/$B19))-1</f>
        <v>-1</v>
      </c>
      <c r="Q19" s="210">
        <f t="shared" ref="Q19:Q28" si="19">K19+M19+O19</f>
        <v>34</v>
      </c>
      <c r="R19" s="211">
        <f t="shared" ref="R19:R28" si="20">((Q19/(3*$B19)))-1</f>
        <v>-0.68518518518518512</v>
      </c>
    </row>
    <row r="20" spans="1:18" ht="15" hidden="1" customHeight="1" x14ac:dyDescent="0.25">
      <c r="A20" s="117" t="s">
        <v>165</v>
      </c>
      <c r="B20" s="738">
        <v>6</v>
      </c>
      <c r="C20" s="750">
        <v>6</v>
      </c>
      <c r="D20" s="209">
        <f t="shared" si="11"/>
        <v>0</v>
      </c>
      <c r="E20" s="749">
        <v>6</v>
      </c>
      <c r="F20" s="209">
        <f t="shared" si="12"/>
        <v>0</v>
      </c>
      <c r="G20" s="736">
        <v>5</v>
      </c>
      <c r="H20" s="209">
        <f t="shared" si="13"/>
        <v>-0.16666666666666663</v>
      </c>
      <c r="I20" s="210">
        <f t="shared" si="14"/>
        <v>17</v>
      </c>
      <c r="J20" s="211">
        <f t="shared" si="15"/>
        <v>-5.555555555555558E-2</v>
      </c>
      <c r="K20" s="736">
        <v>6</v>
      </c>
      <c r="L20" s="209">
        <f t="shared" si="16"/>
        <v>0</v>
      </c>
      <c r="M20" s="736"/>
      <c r="N20" s="209">
        <f t="shared" si="17"/>
        <v>-1</v>
      </c>
      <c r="O20" s="736"/>
      <c r="P20" s="209">
        <f t="shared" si="18"/>
        <v>-1</v>
      </c>
      <c r="Q20" s="210">
        <f t="shared" si="19"/>
        <v>6</v>
      </c>
      <c r="R20" s="211">
        <f t="shared" si="20"/>
        <v>-0.66666666666666674</v>
      </c>
    </row>
    <row r="21" spans="1:18" ht="15" hidden="1" customHeight="1" x14ac:dyDescent="0.25">
      <c r="A21" s="117" t="s">
        <v>166</v>
      </c>
      <c r="B21" s="738">
        <v>6</v>
      </c>
      <c r="C21" s="736">
        <v>6</v>
      </c>
      <c r="D21" s="209">
        <f t="shared" si="11"/>
        <v>0</v>
      </c>
      <c r="E21" s="736">
        <v>6</v>
      </c>
      <c r="F21" s="209">
        <f t="shared" si="12"/>
        <v>0</v>
      </c>
      <c r="G21" s="736">
        <v>6</v>
      </c>
      <c r="H21" s="209">
        <f t="shared" si="13"/>
        <v>0</v>
      </c>
      <c r="I21" s="210">
        <f t="shared" si="14"/>
        <v>18</v>
      </c>
      <c r="J21" s="211">
        <f t="shared" si="15"/>
        <v>0</v>
      </c>
      <c r="K21" s="736">
        <v>6</v>
      </c>
      <c r="L21" s="209">
        <f t="shared" si="16"/>
        <v>0</v>
      </c>
      <c r="M21" s="736"/>
      <c r="N21" s="209">
        <f t="shared" si="17"/>
        <v>-1</v>
      </c>
      <c r="O21" s="736"/>
      <c r="P21" s="209">
        <f t="shared" si="18"/>
        <v>-1</v>
      </c>
      <c r="Q21" s="210">
        <f t="shared" si="19"/>
        <v>6</v>
      </c>
      <c r="R21" s="211">
        <f t="shared" si="20"/>
        <v>-0.66666666666666674</v>
      </c>
    </row>
    <row r="22" spans="1:18" ht="15" hidden="1" customHeight="1" x14ac:dyDescent="0.25">
      <c r="A22" s="117" t="s">
        <v>167</v>
      </c>
      <c r="B22" s="738">
        <v>2</v>
      </c>
      <c r="C22" s="749">
        <v>2.5</v>
      </c>
      <c r="D22" s="209">
        <f t="shared" si="11"/>
        <v>0.25</v>
      </c>
      <c r="E22" s="749">
        <v>2.5</v>
      </c>
      <c r="F22" s="209">
        <f t="shared" si="12"/>
        <v>0.25</v>
      </c>
      <c r="G22" s="749">
        <v>2.5</v>
      </c>
      <c r="H22" s="209">
        <f t="shared" si="13"/>
        <v>0.25</v>
      </c>
      <c r="I22" s="210">
        <f t="shared" si="14"/>
        <v>7.5</v>
      </c>
      <c r="J22" s="211">
        <f t="shared" si="15"/>
        <v>0.25</v>
      </c>
      <c r="K22" s="749">
        <v>2.5</v>
      </c>
      <c r="L22" s="209">
        <f t="shared" si="16"/>
        <v>0.25</v>
      </c>
      <c r="M22" s="749"/>
      <c r="N22" s="209">
        <f t="shared" si="17"/>
        <v>-1</v>
      </c>
      <c r="O22" s="749"/>
      <c r="P22" s="209">
        <f t="shared" si="18"/>
        <v>-1</v>
      </c>
      <c r="Q22" s="210">
        <f t="shared" si="19"/>
        <v>2.5</v>
      </c>
      <c r="R22" s="211">
        <f t="shared" si="20"/>
        <v>-0.58333333333333326</v>
      </c>
    </row>
    <row r="23" spans="1:18" ht="15" hidden="1" customHeight="1" x14ac:dyDescent="0.25">
      <c r="A23" s="384" t="s">
        <v>168</v>
      </c>
      <c r="B23" s="738">
        <v>3</v>
      </c>
      <c r="C23" s="736">
        <v>2</v>
      </c>
      <c r="D23" s="209">
        <f t="shared" si="11"/>
        <v>-0.33333333333333337</v>
      </c>
      <c r="E23" s="736">
        <v>2</v>
      </c>
      <c r="F23" s="209">
        <f t="shared" si="12"/>
        <v>-0.33333333333333337</v>
      </c>
      <c r="G23" s="736">
        <v>2</v>
      </c>
      <c r="H23" s="209">
        <f t="shared" si="13"/>
        <v>-0.33333333333333337</v>
      </c>
      <c r="I23" s="210">
        <f t="shared" si="14"/>
        <v>6</v>
      </c>
      <c r="J23" s="211">
        <f t="shared" si="15"/>
        <v>-0.33333333333333337</v>
      </c>
      <c r="K23" s="736">
        <v>2</v>
      </c>
      <c r="L23" s="209">
        <f t="shared" si="16"/>
        <v>-0.33333333333333337</v>
      </c>
      <c r="M23" s="736"/>
      <c r="N23" s="209">
        <f t="shared" si="17"/>
        <v>-1</v>
      </c>
      <c r="O23" s="736"/>
      <c r="P23" s="209">
        <f t="shared" si="18"/>
        <v>-1</v>
      </c>
      <c r="Q23" s="210">
        <f t="shared" si="19"/>
        <v>2</v>
      </c>
      <c r="R23" s="211">
        <f t="shared" si="20"/>
        <v>-0.77777777777777779</v>
      </c>
    </row>
    <row r="24" spans="1:18" ht="15" hidden="1" customHeight="1" x14ac:dyDescent="0.25">
      <c r="A24" s="767" t="s">
        <v>169</v>
      </c>
      <c r="B24" s="738">
        <v>3</v>
      </c>
      <c r="C24" s="736">
        <v>2</v>
      </c>
      <c r="D24" s="209">
        <f t="shared" si="11"/>
        <v>-0.33333333333333337</v>
      </c>
      <c r="E24" s="736">
        <v>2</v>
      </c>
      <c r="F24" s="209">
        <f t="shared" si="12"/>
        <v>-0.33333333333333337</v>
      </c>
      <c r="G24" s="736">
        <v>2</v>
      </c>
      <c r="H24" s="209">
        <f t="shared" si="13"/>
        <v>-0.33333333333333337</v>
      </c>
      <c r="I24" s="210">
        <f t="shared" si="14"/>
        <v>6</v>
      </c>
      <c r="J24" s="211">
        <f t="shared" si="15"/>
        <v>-0.33333333333333337</v>
      </c>
      <c r="K24" s="736">
        <v>2</v>
      </c>
      <c r="L24" s="209">
        <f t="shared" si="16"/>
        <v>-0.33333333333333337</v>
      </c>
      <c r="M24" s="736"/>
      <c r="N24" s="209">
        <f t="shared" si="17"/>
        <v>-1</v>
      </c>
      <c r="O24" s="736"/>
      <c r="P24" s="209">
        <f t="shared" si="18"/>
        <v>-1</v>
      </c>
      <c r="Q24" s="210">
        <f t="shared" si="19"/>
        <v>2</v>
      </c>
      <c r="R24" s="211">
        <f t="shared" si="20"/>
        <v>-0.77777777777777779</v>
      </c>
    </row>
    <row r="25" spans="1:18" ht="15" hidden="1" customHeight="1" x14ac:dyDescent="0.25">
      <c r="A25" s="117" t="s">
        <v>192</v>
      </c>
      <c r="B25" s="752">
        <v>1</v>
      </c>
      <c r="C25" s="456">
        <v>1</v>
      </c>
      <c r="D25" s="209">
        <f t="shared" si="11"/>
        <v>0</v>
      </c>
      <c r="E25" s="456">
        <v>1</v>
      </c>
      <c r="F25" s="728">
        <f t="shared" si="12"/>
        <v>0</v>
      </c>
      <c r="G25" s="456">
        <v>1</v>
      </c>
      <c r="H25" s="209">
        <f t="shared" si="13"/>
        <v>0</v>
      </c>
      <c r="I25" s="210">
        <f t="shared" si="14"/>
        <v>3</v>
      </c>
      <c r="J25" s="730">
        <f t="shared" si="15"/>
        <v>0</v>
      </c>
      <c r="K25" s="456">
        <v>1</v>
      </c>
      <c r="L25" s="209">
        <f t="shared" si="16"/>
        <v>0</v>
      </c>
      <c r="M25" s="456"/>
      <c r="N25" s="209">
        <f t="shared" si="17"/>
        <v>-1</v>
      </c>
      <c r="O25" s="456"/>
      <c r="P25" s="209">
        <f t="shared" si="18"/>
        <v>-1</v>
      </c>
      <c r="Q25" s="210">
        <f t="shared" si="19"/>
        <v>1</v>
      </c>
      <c r="R25" s="211">
        <f t="shared" si="20"/>
        <v>-0.66666666666666674</v>
      </c>
    </row>
    <row r="26" spans="1:18" ht="15" hidden="1" customHeight="1" x14ac:dyDescent="0.25">
      <c r="A26" s="117" t="s">
        <v>170</v>
      </c>
      <c r="B26" s="765">
        <v>3</v>
      </c>
      <c r="C26" s="456">
        <v>3</v>
      </c>
      <c r="D26" s="209">
        <f t="shared" si="11"/>
        <v>0</v>
      </c>
      <c r="E26" s="456">
        <v>3</v>
      </c>
      <c r="F26" s="728">
        <f t="shared" si="12"/>
        <v>0</v>
      </c>
      <c r="G26" s="456">
        <v>3</v>
      </c>
      <c r="H26" s="209">
        <f t="shared" si="13"/>
        <v>0</v>
      </c>
      <c r="I26" s="210">
        <f t="shared" si="14"/>
        <v>9</v>
      </c>
      <c r="J26" s="730">
        <f t="shared" si="15"/>
        <v>0</v>
      </c>
      <c r="K26" s="456">
        <v>3</v>
      </c>
      <c r="L26" s="209">
        <f t="shared" si="16"/>
        <v>0</v>
      </c>
      <c r="M26" s="456"/>
      <c r="N26" s="209">
        <f t="shared" si="17"/>
        <v>-1</v>
      </c>
      <c r="O26" s="456"/>
      <c r="P26" s="209">
        <f t="shared" si="18"/>
        <v>-1</v>
      </c>
      <c r="Q26" s="210">
        <f t="shared" si="19"/>
        <v>3</v>
      </c>
      <c r="R26" s="211">
        <f t="shared" si="20"/>
        <v>-0.66666666666666674</v>
      </c>
    </row>
    <row r="27" spans="1:18" ht="15.75" hidden="1" customHeight="1" thickBot="1" x14ac:dyDescent="0.3">
      <c r="A27" s="117" t="s">
        <v>184</v>
      </c>
      <c r="B27" s="772">
        <v>2</v>
      </c>
      <c r="C27" s="376">
        <v>2</v>
      </c>
      <c r="D27" s="771">
        <f t="shared" si="11"/>
        <v>0</v>
      </c>
      <c r="E27" s="376">
        <v>2</v>
      </c>
      <c r="F27" s="771">
        <f t="shared" si="12"/>
        <v>0</v>
      </c>
      <c r="G27" s="376">
        <v>2</v>
      </c>
      <c r="H27" s="771">
        <f t="shared" si="13"/>
        <v>0</v>
      </c>
      <c r="I27" s="729">
        <f t="shared" si="14"/>
        <v>6</v>
      </c>
      <c r="J27" s="193">
        <f t="shared" si="15"/>
        <v>0</v>
      </c>
      <c r="K27" s="376">
        <v>2</v>
      </c>
      <c r="L27" s="771">
        <f t="shared" si="16"/>
        <v>0</v>
      </c>
      <c r="M27" s="376"/>
      <c r="N27" s="771">
        <f t="shared" si="17"/>
        <v>-1</v>
      </c>
      <c r="O27" s="376"/>
      <c r="P27" s="771">
        <f t="shared" si="18"/>
        <v>-1</v>
      </c>
      <c r="Q27" s="729">
        <f t="shared" si="19"/>
        <v>2</v>
      </c>
      <c r="R27" s="193">
        <f t="shared" si="20"/>
        <v>-0.66666666666666674</v>
      </c>
    </row>
    <row r="28" spans="1:18" ht="15.75" hidden="1" customHeight="1" thickBot="1" x14ac:dyDescent="0.3">
      <c r="A28" s="50" t="s">
        <v>2</v>
      </c>
      <c r="B28" s="52">
        <f>SUM(B19:B27)</f>
        <v>62</v>
      </c>
      <c r="C28" s="54">
        <f>SUM(C19:C27)</f>
        <v>58.5</v>
      </c>
      <c r="D28" s="59">
        <f t="shared" si="11"/>
        <v>-5.6451612903225756E-2</v>
      </c>
      <c r="E28" s="54">
        <f>SUM(E19:E27)</f>
        <v>60.5</v>
      </c>
      <c r="F28" s="59">
        <f t="shared" si="12"/>
        <v>-2.4193548387096753E-2</v>
      </c>
      <c r="G28" s="54">
        <f>SUM(G19:G27)</f>
        <v>56.5</v>
      </c>
      <c r="H28" s="59">
        <f t="shared" si="13"/>
        <v>-8.8709677419354871E-2</v>
      </c>
      <c r="I28" s="53">
        <f t="shared" si="14"/>
        <v>175.5</v>
      </c>
      <c r="J28" s="300">
        <f t="shared" si="15"/>
        <v>-5.6451612903225756E-2</v>
      </c>
      <c r="K28" s="54">
        <f>SUM(K19:K27)</f>
        <v>58.5</v>
      </c>
      <c r="L28" s="59">
        <f t="shared" si="16"/>
        <v>-5.6451612903225756E-2</v>
      </c>
      <c r="M28" s="54">
        <f>SUM(M19:M27)</f>
        <v>0</v>
      </c>
      <c r="N28" s="59">
        <f t="shared" si="17"/>
        <v>-1</v>
      </c>
      <c r="O28" s="54">
        <f>SUM(O19:O27)</f>
        <v>0</v>
      </c>
      <c r="P28" s="59">
        <f t="shared" si="18"/>
        <v>-1</v>
      </c>
      <c r="Q28" s="53">
        <f t="shared" si="19"/>
        <v>58.5</v>
      </c>
      <c r="R28" s="300">
        <f t="shared" si="20"/>
        <v>-0.68548387096774199</v>
      </c>
    </row>
    <row r="29" spans="1:18" ht="15" hidden="1" customHeight="1" x14ac:dyDescent="0.25"/>
    <row r="30" spans="1:18" ht="15.75" hidden="1" customHeight="1" x14ac:dyDescent="0.25">
      <c r="A30" s="808" t="s">
        <v>359</v>
      </c>
      <c r="B30" s="802"/>
      <c r="C30" s="802"/>
      <c r="D30" s="802"/>
      <c r="E30" s="802"/>
      <c r="F30" s="802"/>
      <c r="G30" s="802"/>
      <c r="H30" s="802"/>
      <c r="I30" s="802"/>
      <c r="J30" s="802"/>
      <c r="K30" s="802"/>
      <c r="L30" s="802"/>
      <c r="M30" s="802"/>
      <c r="N30" s="802"/>
      <c r="O30" s="802"/>
      <c r="P30" s="802"/>
      <c r="Q30" s="802"/>
      <c r="R30" s="802"/>
    </row>
    <row r="31" spans="1:18" ht="24.75" hidden="1" customHeight="1" thickBot="1" x14ac:dyDescent="0.3">
      <c r="A31" s="122" t="s">
        <v>8</v>
      </c>
      <c r="B31" s="121" t="s">
        <v>9</v>
      </c>
      <c r="C31" s="122" t="str">
        <f t="shared" ref="C31:R31" si="21">C6</f>
        <v>JUL</v>
      </c>
      <c r="D31" s="123" t="str">
        <f t="shared" si="21"/>
        <v>%</v>
      </c>
      <c r="E31" s="122" t="str">
        <f t="shared" si="21"/>
        <v>AGO</v>
      </c>
      <c r="F31" s="123" t="str">
        <f t="shared" si="21"/>
        <v>%</v>
      </c>
      <c r="G31" s="122" t="str">
        <f t="shared" si="21"/>
        <v>SET</v>
      </c>
      <c r="H31" s="123" t="str">
        <f t="shared" si="21"/>
        <v>%</v>
      </c>
      <c r="I31" s="124" t="str">
        <f t="shared" si="21"/>
        <v>Trimestre</v>
      </c>
      <c r="J31" s="124" t="str">
        <f t="shared" si="21"/>
        <v>%</v>
      </c>
      <c r="K31" s="122" t="str">
        <f t="shared" si="21"/>
        <v>OUT</v>
      </c>
      <c r="L31" s="123" t="str">
        <f t="shared" si="21"/>
        <v>%</v>
      </c>
      <c r="M31" s="122" t="str">
        <f t="shared" si="21"/>
        <v>NOV</v>
      </c>
      <c r="N31" s="123" t="str">
        <f t="shared" si="21"/>
        <v>%</v>
      </c>
      <c r="O31" s="122" t="str">
        <f t="shared" si="21"/>
        <v>DEZ</v>
      </c>
      <c r="P31" s="123" t="str">
        <f t="shared" si="21"/>
        <v>%</v>
      </c>
      <c r="Q31" s="124" t="str">
        <f t="shared" si="21"/>
        <v>Trimestre</v>
      </c>
      <c r="R31" s="124" t="str">
        <f t="shared" si="21"/>
        <v>%</v>
      </c>
    </row>
    <row r="32" spans="1:18" ht="15.75" hidden="1" customHeight="1" thickTop="1" x14ac:dyDescent="0.25">
      <c r="A32" s="739" t="s">
        <v>150</v>
      </c>
      <c r="B32" s="774">
        <v>2</v>
      </c>
      <c r="C32" s="736">
        <v>2</v>
      </c>
      <c r="D32" s="735">
        <f t="shared" ref="D32:D39" si="22">((C32/$B32))-1</f>
        <v>0</v>
      </c>
      <c r="E32" s="736">
        <v>2</v>
      </c>
      <c r="F32" s="735">
        <f t="shared" ref="F32:F39" si="23">((E32/$B32))-1</f>
        <v>0</v>
      </c>
      <c r="G32" s="736">
        <v>2</v>
      </c>
      <c r="H32" s="735">
        <f t="shared" ref="H32:H39" si="24">((G32/$B32))-1</f>
        <v>0</v>
      </c>
      <c r="I32" s="210">
        <f t="shared" ref="I32:I39" si="25">C32+E32+G32</f>
        <v>6</v>
      </c>
      <c r="J32" s="734">
        <f t="shared" ref="J32:J39" si="26">((I32/(3*$B32)))-1</f>
        <v>0</v>
      </c>
      <c r="K32" s="736">
        <v>2</v>
      </c>
      <c r="L32" s="737">
        <f t="shared" ref="L32:L39" si="27">((K32/$B32))-1</f>
        <v>0</v>
      </c>
      <c r="M32" s="736"/>
      <c r="N32" s="735">
        <f t="shared" ref="N32:N39" si="28">((M32/$B32))-1</f>
        <v>-1</v>
      </c>
      <c r="O32" s="736"/>
      <c r="P32" s="735">
        <f t="shared" ref="P32:P39" si="29">((O32/$B32))-1</f>
        <v>-1</v>
      </c>
      <c r="Q32" s="210">
        <f t="shared" ref="Q32:Q39" si="30">K32+M32+O32</f>
        <v>2</v>
      </c>
      <c r="R32" s="734">
        <f t="shared" ref="R32:R39" si="31">((Q32/(3*$B32)))-1</f>
        <v>-0.66666666666666674</v>
      </c>
    </row>
    <row r="33" spans="1:18" ht="15" hidden="1" customHeight="1" x14ac:dyDescent="0.25">
      <c r="A33" s="739" t="s">
        <v>217</v>
      </c>
      <c r="B33" s="774">
        <v>1</v>
      </c>
      <c r="C33" s="736">
        <v>1</v>
      </c>
      <c r="D33" s="735">
        <f t="shared" si="22"/>
        <v>0</v>
      </c>
      <c r="E33" s="736">
        <v>1</v>
      </c>
      <c r="F33" s="735">
        <f t="shared" si="23"/>
        <v>0</v>
      </c>
      <c r="G33" s="736">
        <v>1</v>
      </c>
      <c r="H33" s="735">
        <f t="shared" si="24"/>
        <v>0</v>
      </c>
      <c r="I33" s="210">
        <f t="shared" si="25"/>
        <v>3</v>
      </c>
      <c r="J33" s="734">
        <f t="shared" si="26"/>
        <v>0</v>
      </c>
      <c r="K33" s="736">
        <v>1</v>
      </c>
      <c r="L33" s="737">
        <f t="shared" si="27"/>
        <v>0</v>
      </c>
      <c r="M33" s="736"/>
      <c r="N33" s="735">
        <f t="shared" si="28"/>
        <v>-1</v>
      </c>
      <c r="O33" s="736"/>
      <c r="P33" s="735">
        <f t="shared" si="29"/>
        <v>-1</v>
      </c>
      <c r="Q33" s="210">
        <f t="shared" si="30"/>
        <v>1</v>
      </c>
      <c r="R33" s="734">
        <f t="shared" si="31"/>
        <v>-0.66666666666666674</v>
      </c>
    </row>
    <row r="34" spans="1:18" ht="15" hidden="1" customHeight="1" x14ac:dyDescent="0.25">
      <c r="A34" s="739" t="s">
        <v>218</v>
      </c>
      <c r="B34" s="774">
        <v>1</v>
      </c>
      <c r="C34" s="736">
        <v>0</v>
      </c>
      <c r="D34" s="735">
        <f t="shared" si="22"/>
        <v>-1</v>
      </c>
      <c r="E34" s="736">
        <v>0</v>
      </c>
      <c r="F34" s="735">
        <f t="shared" si="23"/>
        <v>-1</v>
      </c>
      <c r="G34" s="736">
        <v>0</v>
      </c>
      <c r="H34" s="735">
        <f t="shared" si="24"/>
        <v>-1</v>
      </c>
      <c r="I34" s="210">
        <f t="shared" si="25"/>
        <v>0</v>
      </c>
      <c r="J34" s="734">
        <f t="shared" si="26"/>
        <v>-1</v>
      </c>
      <c r="K34" s="736">
        <v>0</v>
      </c>
      <c r="L34" s="737">
        <f t="shared" si="27"/>
        <v>-1</v>
      </c>
      <c r="M34" s="736"/>
      <c r="N34" s="735">
        <f t="shared" si="28"/>
        <v>-1</v>
      </c>
      <c r="O34" s="736"/>
      <c r="P34" s="735">
        <f t="shared" si="29"/>
        <v>-1</v>
      </c>
      <c r="Q34" s="210">
        <f t="shared" si="30"/>
        <v>0</v>
      </c>
      <c r="R34" s="734">
        <f t="shared" si="31"/>
        <v>-1</v>
      </c>
    </row>
    <row r="35" spans="1:18" ht="15" hidden="1" customHeight="1" x14ac:dyDescent="0.25">
      <c r="A35" s="739" t="s">
        <v>168</v>
      </c>
      <c r="B35" s="774">
        <v>1</v>
      </c>
      <c r="C35" s="736">
        <v>1</v>
      </c>
      <c r="D35" s="735">
        <f t="shared" si="22"/>
        <v>0</v>
      </c>
      <c r="E35" s="736">
        <v>1</v>
      </c>
      <c r="F35" s="735">
        <f t="shared" si="23"/>
        <v>0</v>
      </c>
      <c r="G35" s="736">
        <v>1</v>
      </c>
      <c r="H35" s="735">
        <f t="shared" si="24"/>
        <v>0</v>
      </c>
      <c r="I35" s="210">
        <f t="shared" si="25"/>
        <v>3</v>
      </c>
      <c r="J35" s="734">
        <f t="shared" si="26"/>
        <v>0</v>
      </c>
      <c r="K35" s="736">
        <v>1</v>
      </c>
      <c r="L35" s="737">
        <f t="shared" si="27"/>
        <v>0</v>
      </c>
      <c r="M35" s="736"/>
      <c r="N35" s="735">
        <f t="shared" si="28"/>
        <v>-1</v>
      </c>
      <c r="O35" s="736"/>
      <c r="P35" s="735">
        <f t="shared" si="29"/>
        <v>-1</v>
      </c>
      <c r="Q35" s="210">
        <f t="shared" si="30"/>
        <v>1</v>
      </c>
      <c r="R35" s="734">
        <f t="shared" si="31"/>
        <v>-0.66666666666666674</v>
      </c>
    </row>
    <row r="36" spans="1:18" ht="15" hidden="1" customHeight="1" x14ac:dyDescent="0.25">
      <c r="A36" s="739" t="s">
        <v>207</v>
      </c>
      <c r="B36" s="774">
        <v>1</v>
      </c>
      <c r="C36" s="736">
        <v>1</v>
      </c>
      <c r="D36" s="735">
        <f t="shared" si="22"/>
        <v>0</v>
      </c>
      <c r="E36" s="736">
        <v>1</v>
      </c>
      <c r="F36" s="735">
        <f t="shared" si="23"/>
        <v>0</v>
      </c>
      <c r="G36" s="736">
        <v>1</v>
      </c>
      <c r="H36" s="735">
        <f t="shared" si="24"/>
        <v>0</v>
      </c>
      <c r="I36" s="210">
        <f t="shared" si="25"/>
        <v>3</v>
      </c>
      <c r="J36" s="734">
        <f t="shared" si="26"/>
        <v>0</v>
      </c>
      <c r="K36" s="736">
        <v>0</v>
      </c>
      <c r="L36" s="737">
        <f t="shared" si="27"/>
        <v>-1</v>
      </c>
      <c r="M36" s="736"/>
      <c r="N36" s="735">
        <f t="shared" si="28"/>
        <v>-1</v>
      </c>
      <c r="O36" s="736"/>
      <c r="P36" s="735">
        <f t="shared" si="29"/>
        <v>-1</v>
      </c>
      <c r="Q36" s="210">
        <f t="shared" si="30"/>
        <v>0</v>
      </c>
      <c r="R36" s="734">
        <f t="shared" si="31"/>
        <v>-1</v>
      </c>
    </row>
    <row r="37" spans="1:18" hidden="1" x14ac:dyDescent="0.25">
      <c r="A37" s="744" t="s">
        <v>153</v>
      </c>
      <c r="B37" s="773">
        <v>2</v>
      </c>
      <c r="C37" s="456">
        <v>2</v>
      </c>
      <c r="D37" s="735">
        <f t="shared" si="22"/>
        <v>0</v>
      </c>
      <c r="E37" s="736">
        <v>2</v>
      </c>
      <c r="F37" s="735">
        <f t="shared" si="23"/>
        <v>0</v>
      </c>
      <c r="G37" s="736">
        <v>2</v>
      </c>
      <c r="H37" s="735">
        <f t="shared" si="24"/>
        <v>0</v>
      </c>
      <c r="I37" s="729">
        <f t="shared" si="25"/>
        <v>6</v>
      </c>
      <c r="J37" s="20">
        <f t="shared" si="26"/>
        <v>0</v>
      </c>
      <c r="K37" s="456">
        <v>2</v>
      </c>
      <c r="L37" s="29">
        <f t="shared" si="27"/>
        <v>0</v>
      </c>
      <c r="M37" s="736"/>
      <c r="N37" s="735">
        <f t="shared" si="28"/>
        <v>-1</v>
      </c>
      <c r="O37" s="736"/>
      <c r="P37" s="735">
        <f t="shared" si="29"/>
        <v>-1</v>
      </c>
      <c r="Q37" s="729">
        <f t="shared" si="30"/>
        <v>2</v>
      </c>
      <c r="R37" s="20">
        <f t="shared" si="31"/>
        <v>-0.66666666666666674</v>
      </c>
    </row>
    <row r="38" spans="1:18" hidden="1" x14ac:dyDescent="0.25">
      <c r="A38" s="374" t="s">
        <v>281</v>
      </c>
      <c r="B38" s="375">
        <v>2</v>
      </c>
      <c r="C38" s="376">
        <v>2</v>
      </c>
      <c r="D38" s="455">
        <f t="shared" si="22"/>
        <v>0</v>
      </c>
      <c r="E38" s="376">
        <v>2</v>
      </c>
      <c r="F38" s="455">
        <f t="shared" si="23"/>
        <v>0</v>
      </c>
      <c r="G38" s="376">
        <v>2</v>
      </c>
      <c r="H38" s="455">
        <f t="shared" si="24"/>
        <v>0</v>
      </c>
      <c r="I38" s="377">
        <f t="shared" si="25"/>
        <v>6</v>
      </c>
      <c r="J38" s="378">
        <f t="shared" si="26"/>
        <v>0</v>
      </c>
      <c r="K38" s="376">
        <v>2</v>
      </c>
      <c r="L38" s="379">
        <f t="shared" si="27"/>
        <v>0</v>
      </c>
      <c r="M38" s="456"/>
      <c r="N38" s="455">
        <f t="shared" si="28"/>
        <v>-1</v>
      </c>
      <c r="O38" s="456"/>
      <c r="P38" s="455">
        <f t="shared" si="29"/>
        <v>-1</v>
      </c>
      <c r="Q38" s="377">
        <f t="shared" si="30"/>
        <v>2</v>
      </c>
      <c r="R38" s="378">
        <f t="shared" si="31"/>
        <v>-0.66666666666666674</v>
      </c>
    </row>
    <row r="39" spans="1:18" ht="15.75" hidden="1" thickBot="1" x14ac:dyDescent="0.3">
      <c r="A39" s="50" t="s">
        <v>2</v>
      </c>
      <c r="B39" s="52">
        <f>SUM(B32:B38)</f>
        <v>10</v>
      </c>
      <c r="C39" s="54">
        <f>SUM(C32:C38)</f>
        <v>9</v>
      </c>
      <c r="D39" s="119">
        <f t="shared" si="22"/>
        <v>-9.9999999999999978E-2</v>
      </c>
      <c r="E39" s="54">
        <f>SUM(E32:E38)</f>
        <v>9</v>
      </c>
      <c r="F39" s="119">
        <f t="shared" si="23"/>
        <v>-9.9999999999999978E-2</v>
      </c>
      <c r="G39" s="54">
        <f>SUM(G32:G38)</f>
        <v>9</v>
      </c>
      <c r="H39" s="119">
        <f t="shared" si="24"/>
        <v>-9.9999999999999978E-2</v>
      </c>
      <c r="I39" s="53">
        <f t="shared" si="25"/>
        <v>27</v>
      </c>
      <c r="J39" s="399">
        <f t="shared" si="26"/>
        <v>-9.9999999999999978E-2</v>
      </c>
      <c r="K39" s="54">
        <f>SUM(K32:K38)</f>
        <v>8</v>
      </c>
      <c r="L39" s="59">
        <f t="shared" si="27"/>
        <v>-0.19999999999999996</v>
      </c>
      <c r="M39" s="54">
        <f>SUM(M32:M38)</f>
        <v>0</v>
      </c>
      <c r="N39" s="119">
        <f t="shared" si="28"/>
        <v>-1</v>
      </c>
      <c r="O39" s="54">
        <f>SUM(O32:O38)</f>
        <v>0</v>
      </c>
      <c r="P39" s="119">
        <f t="shared" si="29"/>
        <v>-1</v>
      </c>
      <c r="Q39" s="53">
        <f t="shared" si="30"/>
        <v>8</v>
      </c>
      <c r="R39" s="400">
        <f t="shared" si="31"/>
        <v>-0.73333333333333339</v>
      </c>
    </row>
    <row r="40" spans="1:18" hidden="1" x14ac:dyDescent="0.25"/>
    <row r="41" spans="1:18" ht="15.75" hidden="1" x14ac:dyDescent="0.25">
      <c r="A41" s="803" t="s">
        <v>360</v>
      </c>
      <c r="B41" s="802"/>
      <c r="C41" s="802"/>
      <c r="D41" s="802"/>
      <c r="E41" s="802"/>
      <c r="F41" s="802"/>
      <c r="G41" s="802"/>
      <c r="H41" s="802"/>
      <c r="I41" s="802"/>
      <c r="J41" s="802"/>
      <c r="K41" s="802"/>
      <c r="L41" s="802"/>
      <c r="M41" s="802"/>
      <c r="N41" s="802"/>
      <c r="O41" s="802"/>
      <c r="P41" s="802"/>
      <c r="Q41" s="802"/>
      <c r="R41" s="802"/>
    </row>
    <row r="42" spans="1:18" ht="24.75" hidden="1" thickBot="1" x14ac:dyDescent="0.3">
      <c r="A42" s="120" t="s">
        <v>8</v>
      </c>
      <c r="B42" s="121" t="s">
        <v>9</v>
      </c>
      <c r="C42" s="122" t="str">
        <f t="shared" ref="C42:R42" si="32">C6</f>
        <v>JUL</v>
      </c>
      <c r="D42" s="123" t="str">
        <f t="shared" si="32"/>
        <v>%</v>
      </c>
      <c r="E42" s="122" t="str">
        <f t="shared" si="32"/>
        <v>AGO</v>
      </c>
      <c r="F42" s="123" t="str">
        <f t="shared" si="32"/>
        <v>%</v>
      </c>
      <c r="G42" s="122" t="str">
        <f t="shared" si="32"/>
        <v>SET</v>
      </c>
      <c r="H42" s="123" t="str">
        <f t="shared" si="32"/>
        <v>%</v>
      </c>
      <c r="I42" s="124" t="str">
        <f t="shared" si="32"/>
        <v>Trimestre</v>
      </c>
      <c r="J42" s="124" t="str">
        <f t="shared" si="32"/>
        <v>%</v>
      </c>
      <c r="K42" s="122" t="str">
        <f t="shared" si="32"/>
        <v>OUT</v>
      </c>
      <c r="L42" s="123" t="str">
        <f t="shared" si="32"/>
        <v>%</v>
      </c>
      <c r="M42" s="122" t="str">
        <f t="shared" si="32"/>
        <v>NOV</v>
      </c>
      <c r="N42" s="123" t="str">
        <f t="shared" si="32"/>
        <v>%</v>
      </c>
      <c r="O42" s="122" t="str">
        <f t="shared" si="32"/>
        <v>DEZ</v>
      </c>
      <c r="P42" s="123" t="str">
        <f t="shared" si="32"/>
        <v>%</v>
      </c>
      <c r="Q42" s="124" t="str">
        <f t="shared" si="32"/>
        <v>Trimestre</v>
      </c>
      <c r="R42" s="124" t="str">
        <f t="shared" si="32"/>
        <v>%</v>
      </c>
    </row>
    <row r="43" spans="1:18" hidden="1" x14ac:dyDescent="0.25">
      <c r="A43" s="310" t="s">
        <v>172</v>
      </c>
      <c r="B43" s="315">
        <v>12</v>
      </c>
      <c r="C43" s="311">
        <v>10</v>
      </c>
      <c r="D43" s="314">
        <f>((C43/$B43))-1</f>
        <v>-0.16666666666666663</v>
      </c>
      <c r="E43" s="311">
        <v>12</v>
      </c>
      <c r="F43" s="314">
        <f>((E43/$B43))-1</f>
        <v>0</v>
      </c>
      <c r="G43" s="311">
        <v>10</v>
      </c>
      <c r="H43" s="314">
        <f>((G43/$B43))-1</f>
        <v>-0.16666666666666663</v>
      </c>
      <c r="I43" s="313">
        <f>C43+E43+G43</f>
        <v>32</v>
      </c>
      <c r="J43" s="318">
        <f>((I43/(3*$B43)))-1</f>
        <v>-0.11111111111111116</v>
      </c>
      <c r="K43" s="311">
        <v>10</v>
      </c>
      <c r="L43" s="314">
        <f>((K43/$B43))-1</f>
        <v>-0.16666666666666663</v>
      </c>
      <c r="M43" s="311"/>
      <c r="N43" s="314">
        <f>((M43/$B43))-1</f>
        <v>-1</v>
      </c>
      <c r="O43" s="311"/>
      <c r="P43" s="314">
        <f>((O43/$B43))-1</f>
        <v>-1</v>
      </c>
      <c r="Q43" s="313">
        <f>K43+M43+O43</f>
        <v>10</v>
      </c>
      <c r="R43" s="318">
        <f>((Q43/(3*$B43)))-1</f>
        <v>-0.72222222222222221</v>
      </c>
    </row>
    <row r="44" spans="1:18" hidden="1" x14ac:dyDescent="0.25">
      <c r="A44" s="323" t="s">
        <v>162</v>
      </c>
      <c r="B44" s="397">
        <v>12</v>
      </c>
      <c r="C44" s="329">
        <v>10</v>
      </c>
      <c r="D44" s="330">
        <f>((C44/$B44))-1</f>
        <v>-0.16666666666666663</v>
      </c>
      <c r="E44" s="329">
        <v>11</v>
      </c>
      <c r="F44" s="330">
        <f>((E44/$B44))-1</f>
        <v>-8.333333333333337E-2</v>
      </c>
      <c r="G44" s="329">
        <v>10</v>
      </c>
      <c r="H44" s="330">
        <f>((G44/$B44))-1</f>
        <v>-0.16666666666666663</v>
      </c>
      <c r="I44" s="331">
        <f>C44+E44+G44</f>
        <v>31</v>
      </c>
      <c r="J44" s="332">
        <f>((I44/(3*$B44)))-1</f>
        <v>-0.13888888888888884</v>
      </c>
      <c r="K44" s="329">
        <v>10</v>
      </c>
      <c r="L44" s="330">
        <f>((K44/$B44))-1</f>
        <v>-0.16666666666666663</v>
      </c>
      <c r="M44" s="329"/>
      <c r="N44" s="330">
        <f>((M44/$B44))-1</f>
        <v>-1</v>
      </c>
      <c r="O44" s="329"/>
      <c r="P44" s="330">
        <f>((O44/$B44))-1</f>
        <v>-1</v>
      </c>
      <c r="Q44" s="331">
        <f>K44+M44+O44</f>
        <v>10</v>
      </c>
      <c r="R44" s="332">
        <f>((Q44/(3*$B44)))-1</f>
        <v>-0.72222222222222221</v>
      </c>
    </row>
    <row r="45" spans="1:18" ht="15.75" hidden="1" thickBot="1" x14ac:dyDescent="0.3">
      <c r="A45" s="50" t="s">
        <v>2</v>
      </c>
      <c r="B45" s="52">
        <f>SUM(B43:B44)</f>
        <v>24</v>
      </c>
      <c r="C45" s="54">
        <f>SUM(C43:C44)</f>
        <v>20</v>
      </c>
      <c r="D45" s="59">
        <f>((C45/$B45))-1</f>
        <v>-0.16666666666666663</v>
      </c>
      <c r="E45" s="54">
        <f>SUM(E43:E44)</f>
        <v>23</v>
      </c>
      <c r="F45" s="59">
        <f>((E45/$B45))-1</f>
        <v>-4.166666666666663E-2</v>
      </c>
      <c r="G45" s="54">
        <f>SUM(G43:G44)</f>
        <v>20</v>
      </c>
      <c r="H45" s="59">
        <f>((G45/$B45))-1</f>
        <v>-0.16666666666666663</v>
      </c>
      <c r="I45" s="53">
        <f>C45+E45+G45</f>
        <v>63</v>
      </c>
      <c r="J45" s="60">
        <f>((I45/(3*$B45)))-1</f>
        <v>-0.125</v>
      </c>
      <c r="K45" s="54">
        <f>SUM(K43:K44)</f>
        <v>20</v>
      </c>
      <c r="L45" s="59">
        <f>((K45/$B45))-1</f>
        <v>-0.16666666666666663</v>
      </c>
      <c r="M45" s="54">
        <f>SUM(M43:M44)</f>
        <v>0</v>
      </c>
      <c r="N45" s="59">
        <f>((M45/$B45))-1</f>
        <v>-1</v>
      </c>
      <c r="O45" s="54">
        <f>SUM(O43:O44)</f>
        <v>0</v>
      </c>
      <c r="P45" s="59">
        <f>((O45/$B45))-1</f>
        <v>-1</v>
      </c>
      <c r="Q45" s="53">
        <f>K45+M45+O45</f>
        <v>20</v>
      </c>
      <c r="R45" s="398">
        <f>((Q45/(3*$B45)))-1</f>
        <v>-0.72222222222222221</v>
      </c>
    </row>
  </sheetData>
  <mergeCells count="6">
    <mergeCell ref="A41:R41"/>
    <mergeCell ref="A30:R30"/>
    <mergeCell ref="A5:R5"/>
    <mergeCell ref="A17:R17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1" orientation="landscape" r:id="rId1"/>
  <headerFooter>
    <oddFooter>&amp;L&amp;10Fonte: Sistema WEBSAASS / SMS&amp;R&amp;10pag.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R3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2.85546875" customWidth="1"/>
    <col min="2" max="2" width="9.85546875" customWidth="1"/>
    <col min="3" max="3" width="7.42578125" customWidth="1"/>
    <col min="4" max="4" width="10.140625" bestFit="1" customWidth="1"/>
    <col min="5" max="5" width="7.42578125" customWidth="1"/>
    <col min="6" max="6" width="11.140625" bestFit="1" customWidth="1"/>
    <col min="7" max="7" width="7.42578125" customWidth="1"/>
    <col min="8" max="8" width="12.28515625" bestFit="1" customWidth="1"/>
    <col min="9" max="9" width="9.85546875" customWidth="1"/>
    <col min="10" max="10" width="12.28515625" bestFit="1" customWidth="1"/>
    <col min="11" max="11" width="7.42578125" customWidth="1"/>
    <col min="12" max="12" width="11.140625" bestFit="1" customWidth="1"/>
    <col min="13" max="13" width="7.42578125" customWidth="1"/>
    <col min="14" max="14" width="11.140625" bestFit="1" customWidth="1"/>
    <col min="15" max="15" width="7.42578125" customWidth="1"/>
    <col min="16" max="16" width="11.140625" bestFit="1" customWidth="1"/>
    <col min="17" max="17" width="11.140625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799" t="s">
        <v>339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</row>
    <row r="6" spans="1:18" ht="26.25" customHeight="1" x14ac:dyDescent="0.25">
      <c r="A6" s="465" t="s">
        <v>8</v>
      </c>
      <c r="B6" s="466" t="s">
        <v>9</v>
      </c>
      <c r="C6" s="465" t="s">
        <v>331</v>
      </c>
      <c r="D6" s="467" t="s">
        <v>1</v>
      </c>
      <c r="E6" s="465" t="s">
        <v>332</v>
      </c>
      <c r="F6" s="467" t="s">
        <v>1</v>
      </c>
      <c r="G6" s="465" t="s">
        <v>333</v>
      </c>
      <c r="H6" s="467" t="s">
        <v>1</v>
      </c>
      <c r="I6" s="468" t="s">
        <v>138</v>
      </c>
      <c r="J6" s="468" t="s">
        <v>1</v>
      </c>
      <c r="K6" s="465" t="s">
        <v>334</v>
      </c>
      <c r="L6" s="467" t="s">
        <v>1</v>
      </c>
      <c r="M6" s="465" t="s">
        <v>335</v>
      </c>
      <c r="N6" s="467" t="s">
        <v>1</v>
      </c>
      <c r="O6" s="465" t="s">
        <v>336</v>
      </c>
      <c r="P6" s="467" t="s">
        <v>1</v>
      </c>
      <c r="Q6" s="468" t="s">
        <v>138</v>
      </c>
      <c r="R6" s="468" t="s">
        <v>1</v>
      </c>
    </row>
    <row r="7" spans="1:18" x14ac:dyDescent="0.25">
      <c r="A7" s="464" t="s">
        <v>158</v>
      </c>
      <c r="B7" s="315">
        <v>6720</v>
      </c>
      <c r="C7" s="311">
        <v>4571</v>
      </c>
      <c r="D7" s="314">
        <f>((C7/$B7))-1</f>
        <v>-0.3197916666666667</v>
      </c>
      <c r="E7" s="311">
        <v>5171</v>
      </c>
      <c r="F7" s="314">
        <f>((E7/$B7))-1</f>
        <v>-0.23050595238095239</v>
      </c>
      <c r="G7" s="311">
        <v>5842</v>
      </c>
      <c r="H7" s="314">
        <f>((G7/$B7))-1</f>
        <v>-0.13065476190476188</v>
      </c>
      <c r="I7" s="313">
        <f>C7+E7+G7</f>
        <v>15584</v>
      </c>
      <c r="J7" s="318">
        <f>((I7/(3*$B7)))-1</f>
        <v>-0.22698412698412695</v>
      </c>
      <c r="K7" s="311">
        <v>4813</v>
      </c>
      <c r="L7" s="314">
        <f>((K7/$B7))-1</f>
        <v>-0.28377976190476195</v>
      </c>
      <c r="M7" s="311">
        <v>5332</v>
      </c>
      <c r="N7" s="314">
        <f>((M7/$B7))-1</f>
        <v>-0.20654761904761909</v>
      </c>
      <c r="O7" s="311">
        <v>5122</v>
      </c>
      <c r="P7" s="314">
        <f>((O7/$B7))-1</f>
        <v>-0.23779761904761909</v>
      </c>
      <c r="Q7" s="313">
        <f t="shared" ref="Q7:Q14" si="0">K7+M7+O7</f>
        <v>15267</v>
      </c>
      <c r="R7" s="318">
        <f>((Q7/(3*$B7)))-1</f>
        <v>-0.2427083333333333</v>
      </c>
    </row>
    <row r="8" spans="1:18" x14ac:dyDescent="0.25">
      <c r="A8" s="464" t="s">
        <v>159</v>
      </c>
      <c r="B8" s="315">
        <v>2080</v>
      </c>
      <c r="C8" s="311">
        <v>622</v>
      </c>
      <c r="D8" s="314">
        <f>((C8/$B8))-1</f>
        <v>-0.70096153846153841</v>
      </c>
      <c r="E8" s="311">
        <v>710</v>
      </c>
      <c r="F8" s="314">
        <f>((E8/$B8))-1</f>
        <v>-0.65865384615384615</v>
      </c>
      <c r="G8" s="311">
        <v>1684</v>
      </c>
      <c r="H8" s="314">
        <f>((G8/$B8))-1</f>
        <v>-0.19038461538461537</v>
      </c>
      <c r="I8" s="313">
        <f t="shared" ref="I8:I14" si="1">C8+E8+G8</f>
        <v>3016</v>
      </c>
      <c r="J8" s="318">
        <f>((I8/(3*$B8)))-1</f>
        <v>-0.51666666666666661</v>
      </c>
      <c r="K8" s="311">
        <v>1458</v>
      </c>
      <c r="L8" s="314">
        <f>((K8/$B8))-1</f>
        <v>-0.29903846153846159</v>
      </c>
      <c r="M8" s="311">
        <v>2157</v>
      </c>
      <c r="N8" s="314">
        <f>((M8/$B8))-1</f>
        <v>3.7019230769230749E-2</v>
      </c>
      <c r="O8" s="311">
        <v>1788</v>
      </c>
      <c r="P8" s="314">
        <f>((O8/$B8))-1</f>
        <v>-0.14038461538461533</v>
      </c>
      <c r="Q8" s="313">
        <f t="shared" si="0"/>
        <v>5403</v>
      </c>
      <c r="R8" s="318">
        <f>((Q8/(3*$B8)))-1</f>
        <v>-0.13413461538461535</v>
      </c>
    </row>
    <row r="9" spans="1:18" x14ac:dyDescent="0.25">
      <c r="A9" s="464" t="s">
        <v>171</v>
      </c>
      <c r="B9" s="315">
        <v>780</v>
      </c>
      <c r="C9" s="311">
        <v>444</v>
      </c>
      <c r="D9" s="314">
        <f t="shared" ref="D9:D14" si="2">((C9/$B9))-1</f>
        <v>-0.43076923076923079</v>
      </c>
      <c r="E9" s="311">
        <v>522</v>
      </c>
      <c r="F9" s="314">
        <f t="shared" ref="F9:F14" si="3">((E9/$B9))-1</f>
        <v>-0.33076923076923082</v>
      </c>
      <c r="G9" s="311">
        <v>698</v>
      </c>
      <c r="H9" s="314">
        <f t="shared" ref="H9:H14" si="4">((G9/$B9))-1</f>
        <v>-0.10512820512820509</v>
      </c>
      <c r="I9" s="313">
        <f t="shared" si="1"/>
        <v>1664</v>
      </c>
      <c r="J9" s="318">
        <f>((I9/(3*$B9)))-1</f>
        <v>-0.28888888888888886</v>
      </c>
      <c r="K9" s="311">
        <v>707</v>
      </c>
      <c r="L9" s="314">
        <f t="shared" ref="L9:L14" si="5">((K9/$B9))-1</f>
        <v>-9.358974358974359E-2</v>
      </c>
      <c r="M9" s="311">
        <v>869</v>
      </c>
      <c r="N9" s="314">
        <f t="shared" ref="N9:N14" si="6">((M9/$B9))-1</f>
        <v>0.11410256410256414</v>
      </c>
      <c r="O9" s="311">
        <v>764</v>
      </c>
      <c r="P9" s="314">
        <f t="shared" ref="P9:P13" si="7">((O9/$B9))-1</f>
        <v>-2.0512820512820551E-2</v>
      </c>
      <c r="Q9" s="313">
        <f t="shared" si="0"/>
        <v>2340</v>
      </c>
      <c r="R9" s="318">
        <f>((Q9/(3*$B9)))-1</f>
        <v>0</v>
      </c>
    </row>
    <row r="10" spans="1:18" ht="24" x14ac:dyDescent="0.25">
      <c r="A10" s="464" t="s">
        <v>191</v>
      </c>
      <c r="B10" s="315">
        <v>432</v>
      </c>
      <c r="C10" s="311">
        <v>186</v>
      </c>
      <c r="D10" s="314">
        <f t="shared" si="2"/>
        <v>-0.56944444444444442</v>
      </c>
      <c r="E10" s="311">
        <v>246</v>
      </c>
      <c r="F10" s="314">
        <f t="shared" si="3"/>
        <v>-0.43055555555555558</v>
      </c>
      <c r="G10" s="311">
        <v>591</v>
      </c>
      <c r="H10" s="314">
        <f t="shared" si="4"/>
        <v>0.36805555555555558</v>
      </c>
      <c r="I10" s="313">
        <f t="shared" si="1"/>
        <v>1023</v>
      </c>
      <c r="J10" s="318">
        <f t="shared" ref="J10:J14" si="8">((I10/(3*$B10)))-1</f>
        <v>-0.21064814814814814</v>
      </c>
      <c r="K10" s="311">
        <v>384</v>
      </c>
      <c r="L10" s="314">
        <f t="shared" si="5"/>
        <v>-0.11111111111111116</v>
      </c>
      <c r="M10" s="311">
        <v>707</v>
      </c>
      <c r="N10" s="314">
        <f t="shared" si="6"/>
        <v>0.63657407407407418</v>
      </c>
      <c r="O10" s="311">
        <v>407</v>
      </c>
      <c r="P10" s="314">
        <f t="shared" si="7"/>
        <v>-5.787037037037035E-2</v>
      </c>
      <c r="Q10" s="313">
        <f t="shared" si="0"/>
        <v>1498</v>
      </c>
      <c r="R10" s="318">
        <f t="shared" ref="R10:R15" si="9">((Q10/(3*$B10)))-1</f>
        <v>0.15586419753086411</v>
      </c>
    </row>
    <row r="11" spans="1:18" ht="24" x14ac:dyDescent="0.25">
      <c r="A11" s="464" t="s">
        <v>177</v>
      </c>
      <c r="B11" s="315">
        <v>1512</v>
      </c>
      <c r="C11" s="311">
        <v>439</v>
      </c>
      <c r="D11" s="314">
        <f t="shared" si="2"/>
        <v>-0.70965608465608465</v>
      </c>
      <c r="E11" s="311">
        <v>1070</v>
      </c>
      <c r="F11" s="314">
        <f t="shared" si="3"/>
        <v>-0.29232804232804233</v>
      </c>
      <c r="G11" s="311">
        <v>2125</v>
      </c>
      <c r="H11" s="314">
        <f t="shared" si="4"/>
        <v>0.40542328042328046</v>
      </c>
      <c r="I11" s="313">
        <f t="shared" si="1"/>
        <v>3634</v>
      </c>
      <c r="J11" s="318">
        <f t="shared" si="8"/>
        <v>-0.19885361552028213</v>
      </c>
      <c r="K11" s="311">
        <v>1021</v>
      </c>
      <c r="L11" s="314">
        <f t="shared" si="5"/>
        <v>-0.32473544973544977</v>
      </c>
      <c r="M11" s="311">
        <v>1845</v>
      </c>
      <c r="N11" s="314">
        <f t="shared" si="6"/>
        <v>0.22023809523809534</v>
      </c>
      <c r="O11" s="311">
        <v>991</v>
      </c>
      <c r="P11" s="314">
        <f t="shared" si="7"/>
        <v>-0.34457671957671954</v>
      </c>
      <c r="Q11" s="313">
        <f t="shared" si="0"/>
        <v>3857</v>
      </c>
      <c r="R11" s="318">
        <f t="shared" si="9"/>
        <v>-0.14969135802469136</v>
      </c>
    </row>
    <row r="12" spans="1:18" s="319" customFormat="1" x14ac:dyDescent="0.25">
      <c r="A12" s="473" t="s">
        <v>178</v>
      </c>
      <c r="B12" s="335">
        <v>263</v>
      </c>
      <c r="C12" s="469">
        <v>169</v>
      </c>
      <c r="D12" s="474">
        <f t="shared" si="2"/>
        <v>-0.35741444866920147</v>
      </c>
      <c r="E12" s="469">
        <v>69</v>
      </c>
      <c r="F12" s="474">
        <f t="shared" si="3"/>
        <v>-0.73764258555133078</v>
      </c>
      <c r="G12" s="469">
        <v>0</v>
      </c>
      <c r="H12" s="474">
        <f t="shared" si="4"/>
        <v>-1</v>
      </c>
      <c r="I12" s="313">
        <f t="shared" si="1"/>
        <v>238</v>
      </c>
      <c r="J12" s="318">
        <f t="shared" si="8"/>
        <v>-0.69835234474017738</v>
      </c>
      <c r="K12" s="469">
        <v>0</v>
      </c>
      <c r="L12" s="474">
        <f t="shared" si="5"/>
        <v>-1</v>
      </c>
      <c r="M12" s="469">
        <v>0</v>
      </c>
      <c r="N12" s="474">
        <f t="shared" si="6"/>
        <v>-1</v>
      </c>
      <c r="O12" s="469">
        <v>0</v>
      </c>
      <c r="P12" s="474">
        <f t="shared" si="7"/>
        <v>-1</v>
      </c>
      <c r="Q12" s="313">
        <f t="shared" si="0"/>
        <v>0</v>
      </c>
      <c r="R12" s="318">
        <f t="shared" si="9"/>
        <v>-1</v>
      </c>
    </row>
    <row r="13" spans="1:18" s="319" customFormat="1" x14ac:dyDescent="0.25">
      <c r="A13" s="473" t="s">
        <v>179</v>
      </c>
      <c r="B13" s="335">
        <v>526</v>
      </c>
      <c r="C13" s="469">
        <v>85</v>
      </c>
      <c r="D13" s="474">
        <f t="shared" si="2"/>
        <v>-0.83840304182509506</v>
      </c>
      <c r="E13" s="469">
        <v>107</v>
      </c>
      <c r="F13" s="474">
        <f t="shared" si="3"/>
        <v>-0.79657794676806082</v>
      </c>
      <c r="G13" s="469">
        <v>152</v>
      </c>
      <c r="H13" s="474">
        <f t="shared" si="4"/>
        <v>-0.71102661596958172</v>
      </c>
      <c r="I13" s="313">
        <f t="shared" si="1"/>
        <v>344</v>
      </c>
      <c r="J13" s="318">
        <f t="shared" si="8"/>
        <v>-0.78200253485424587</v>
      </c>
      <c r="K13" s="469">
        <v>0</v>
      </c>
      <c r="L13" s="474">
        <f t="shared" si="5"/>
        <v>-1</v>
      </c>
      <c r="M13" s="469">
        <v>156</v>
      </c>
      <c r="N13" s="474">
        <f t="shared" si="6"/>
        <v>-0.70342205323193918</v>
      </c>
      <c r="O13" s="469">
        <v>111</v>
      </c>
      <c r="P13" s="474">
        <f t="shared" si="7"/>
        <v>-0.78897338403041828</v>
      </c>
      <c r="Q13" s="313">
        <f t="shared" si="0"/>
        <v>267</v>
      </c>
      <c r="R13" s="318">
        <f t="shared" si="9"/>
        <v>-0.83079847908745252</v>
      </c>
    </row>
    <row r="14" spans="1:18" x14ac:dyDescent="0.25">
      <c r="A14" s="464" t="s">
        <v>180</v>
      </c>
      <c r="B14" s="315">
        <v>166</v>
      </c>
      <c r="C14" s="311">
        <v>182</v>
      </c>
      <c r="D14" s="314">
        <f t="shared" si="2"/>
        <v>9.6385542168674787E-2</v>
      </c>
      <c r="E14" s="311">
        <v>0</v>
      </c>
      <c r="F14" s="314">
        <f t="shared" si="3"/>
        <v>-1</v>
      </c>
      <c r="G14" s="311">
        <v>274</v>
      </c>
      <c r="H14" s="314">
        <f t="shared" si="4"/>
        <v>0.65060240963855431</v>
      </c>
      <c r="I14" s="313">
        <f t="shared" si="1"/>
        <v>456</v>
      </c>
      <c r="J14" s="318">
        <f t="shared" si="8"/>
        <v>-8.4337349397590411E-2</v>
      </c>
      <c r="K14" s="311">
        <v>166</v>
      </c>
      <c r="L14" s="314">
        <f t="shared" si="5"/>
        <v>0</v>
      </c>
      <c r="M14" s="311">
        <v>207</v>
      </c>
      <c r="N14" s="314">
        <f t="shared" si="6"/>
        <v>0.24698795180722888</v>
      </c>
      <c r="O14" s="311">
        <v>201</v>
      </c>
      <c r="P14" s="314">
        <f>((O14/$B14))-1</f>
        <v>0.21084337349397586</v>
      </c>
      <c r="Q14" s="313">
        <f t="shared" si="0"/>
        <v>574</v>
      </c>
      <c r="R14" s="318">
        <f>((Q14/(3*$B14)))-1</f>
        <v>0.15261044176706817</v>
      </c>
    </row>
    <row r="15" spans="1:18" x14ac:dyDescent="0.25">
      <c r="A15" s="470" t="s">
        <v>2</v>
      </c>
      <c r="B15" s="315">
        <f>SUM(B7:B14)</f>
        <v>12479</v>
      </c>
      <c r="C15" s="471">
        <f>SUM(C7:C14)</f>
        <v>6698</v>
      </c>
      <c r="D15" s="314">
        <f>((C15/$B15))-1</f>
        <v>-0.46325827390015228</v>
      </c>
      <c r="E15" s="471">
        <f>SUM(E7:E14)</f>
        <v>7895</v>
      </c>
      <c r="F15" s="314">
        <f>((E15/$B15))-1</f>
        <v>-0.36733712637230542</v>
      </c>
      <c r="G15" s="471" t="s">
        <v>374</v>
      </c>
      <c r="H15" s="314" t="e">
        <f>((G15/$B15))-1</f>
        <v>#VALUE!</v>
      </c>
      <c r="I15" s="472" t="e">
        <f>C15+E15+G15</f>
        <v>#VALUE!</v>
      </c>
      <c r="J15" s="318" t="e">
        <f>((I15/(3*$B15)))-1</f>
        <v>#VALUE!</v>
      </c>
      <c r="K15" s="471">
        <f>SUM(K7:K14)</f>
        <v>8549</v>
      </c>
      <c r="L15" s="314">
        <f>((K15/$B15))-1</f>
        <v>-0.31492908085583782</v>
      </c>
      <c r="M15" s="471">
        <f>SUM(M7:M14)</f>
        <v>11273</v>
      </c>
      <c r="N15" s="314">
        <f>((M15/$B15))-1</f>
        <v>-9.6642359163394476E-2</v>
      </c>
      <c r="O15" s="471">
        <f>SUM(O7:O14)</f>
        <v>9384</v>
      </c>
      <c r="P15" s="314">
        <f>((O15/$B15))-1</f>
        <v>-0.24801666800224376</v>
      </c>
      <c r="Q15" s="472">
        <f>K15+M15+O15</f>
        <v>29206</v>
      </c>
      <c r="R15" s="318">
        <f t="shared" si="9"/>
        <v>-0.21986270267382535</v>
      </c>
    </row>
    <row r="17" spans="1:18" ht="15.75" x14ac:dyDescent="0.25">
      <c r="A17" s="14"/>
    </row>
    <row r="18" spans="1:18" ht="15.75" hidden="1" x14ac:dyDescent="0.25">
      <c r="A18" s="799" t="s">
        <v>338</v>
      </c>
      <c r="B18" s="799"/>
      <c r="C18" s="799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</row>
    <row r="19" spans="1:18" hidden="1" x14ac:dyDescent="0.25">
      <c r="A19" s="465" t="s">
        <v>8</v>
      </c>
      <c r="B19" s="466" t="s">
        <v>9</v>
      </c>
      <c r="C19" s="465" t="str">
        <f t="shared" ref="C19:R19" si="10">C6</f>
        <v>JAN</v>
      </c>
      <c r="D19" s="467" t="str">
        <f t="shared" si="10"/>
        <v>%</v>
      </c>
      <c r="E19" s="465" t="str">
        <f t="shared" si="10"/>
        <v>FEV</v>
      </c>
      <c r="F19" s="467" t="str">
        <f t="shared" si="10"/>
        <v>%</v>
      </c>
      <c r="G19" s="465" t="str">
        <f t="shared" si="10"/>
        <v>MAR</v>
      </c>
      <c r="H19" s="467" t="str">
        <f t="shared" si="10"/>
        <v>%</v>
      </c>
      <c r="I19" s="468" t="str">
        <f t="shared" si="10"/>
        <v>Trimestre</v>
      </c>
      <c r="J19" s="468" t="str">
        <f t="shared" si="10"/>
        <v>%</v>
      </c>
      <c r="K19" s="465" t="str">
        <f t="shared" si="10"/>
        <v>ABR</v>
      </c>
      <c r="L19" s="467" t="str">
        <f t="shared" si="10"/>
        <v>%</v>
      </c>
      <c r="M19" s="465" t="str">
        <f t="shared" si="10"/>
        <v>MAI</v>
      </c>
      <c r="N19" s="467" t="str">
        <f t="shared" si="10"/>
        <v>%</v>
      </c>
      <c r="O19" s="465" t="str">
        <f t="shared" si="10"/>
        <v>JUN</v>
      </c>
      <c r="P19" s="467" t="str">
        <f t="shared" si="10"/>
        <v>%</v>
      </c>
      <c r="Q19" s="468" t="str">
        <f t="shared" si="10"/>
        <v>Trimestre</v>
      </c>
      <c r="R19" s="468" t="str">
        <f t="shared" si="10"/>
        <v>%</v>
      </c>
    </row>
    <row r="20" spans="1:18" hidden="1" x14ac:dyDescent="0.25">
      <c r="A20" s="464" t="s">
        <v>164</v>
      </c>
      <c r="B20" s="315">
        <v>28</v>
      </c>
      <c r="C20" s="311">
        <v>28</v>
      </c>
      <c r="D20" s="314">
        <f>((C20/$B20))-1</f>
        <v>0</v>
      </c>
      <c r="E20" s="311">
        <v>28</v>
      </c>
      <c r="F20" s="314">
        <f>((E20/$B20))-1</f>
        <v>0</v>
      </c>
      <c r="G20" s="311">
        <v>28</v>
      </c>
      <c r="H20" s="314">
        <f>((G20/$B20))-1</f>
        <v>0</v>
      </c>
      <c r="I20" s="313">
        <f t="shared" ref="I20:I26" si="11">C20+E20+G20</f>
        <v>84</v>
      </c>
      <c r="J20" s="318">
        <f>((I20/(3*$B20)))-1</f>
        <v>0</v>
      </c>
      <c r="K20" s="311">
        <v>28</v>
      </c>
      <c r="L20" s="314">
        <f>((K20/$B20))-1</f>
        <v>0</v>
      </c>
      <c r="M20" s="311">
        <v>28</v>
      </c>
      <c r="N20" s="314">
        <f>((M20/$B20))-1</f>
        <v>0</v>
      </c>
      <c r="O20" s="311">
        <v>28</v>
      </c>
      <c r="P20" s="314">
        <f>((O20/$B20))-1</f>
        <v>0</v>
      </c>
      <c r="Q20" s="313">
        <f t="shared" ref="Q20:Q25" si="12">K20+M20+O20</f>
        <v>84</v>
      </c>
      <c r="R20" s="318">
        <f t="shared" ref="R20:R26" si="13">((Q20/(3*$B20)))-1</f>
        <v>0</v>
      </c>
    </row>
    <row r="21" spans="1:18" hidden="1" x14ac:dyDescent="0.25">
      <c r="A21" s="464" t="s">
        <v>165</v>
      </c>
      <c r="B21" s="315">
        <v>5</v>
      </c>
      <c r="C21" s="311">
        <v>5</v>
      </c>
      <c r="D21" s="314">
        <f>((C21/$B21))-1</f>
        <v>0</v>
      </c>
      <c r="E21" s="311">
        <v>3</v>
      </c>
      <c r="F21" s="314">
        <f>((E21/$B21))-1</f>
        <v>-0.4</v>
      </c>
      <c r="G21" s="311">
        <v>5</v>
      </c>
      <c r="H21" s="314">
        <f>((G21/$B21))-1</f>
        <v>0</v>
      </c>
      <c r="I21" s="313">
        <f t="shared" si="11"/>
        <v>13</v>
      </c>
      <c r="J21" s="318">
        <f>((I21/(3*$B21)))-1</f>
        <v>-0.1333333333333333</v>
      </c>
      <c r="K21" s="311">
        <v>5</v>
      </c>
      <c r="L21" s="314">
        <f>((K21/$B21))-1</f>
        <v>0</v>
      </c>
      <c r="M21" s="715">
        <v>5</v>
      </c>
      <c r="N21" s="314">
        <f>((M21/$B21))-1</f>
        <v>0</v>
      </c>
      <c r="O21" s="311">
        <v>5</v>
      </c>
      <c r="P21" s="314">
        <f>((O21/$B21))-1</f>
        <v>0</v>
      </c>
      <c r="Q21" s="313">
        <f t="shared" si="12"/>
        <v>15</v>
      </c>
      <c r="R21" s="318">
        <f t="shared" si="13"/>
        <v>0</v>
      </c>
    </row>
    <row r="22" spans="1:18" hidden="1" x14ac:dyDescent="0.25">
      <c r="A22" s="464" t="s">
        <v>186</v>
      </c>
      <c r="B22" s="315">
        <v>5</v>
      </c>
      <c r="C22" s="311">
        <v>5</v>
      </c>
      <c r="D22" s="314">
        <f>((C22/$B22))-1</f>
        <v>0</v>
      </c>
      <c r="E22" s="311">
        <v>5</v>
      </c>
      <c r="F22" s="314">
        <f t="shared" ref="F22:F31" si="14">((E22/$B22))-1</f>
        <v>0</v>
      </c>
      <c r="G22" s="311">
        <v>5</v>
      </c>
      <c r="H22" s="314">
        <f t="shared" ref="H22:H31" si="15">((G22/$B22))-1</f>
        <v>0</v>
      </c>
      <c r="I22" s="313">
        <f t="shared" si="11"/>
        <v>15</v>
      </c>
      <c r="J22" s="318">
        <f>((I22/(3*$B22)))-1</f>
        <v>0</v>
      </c>
      <c r="K22" s="311">
        <v>5</v>
      </c>
      <c r="L22" s="314">
        <f t="shared" ref="L22:L31" si="16">((K22/$B22))-1</f>
        <v>0</v>
      </c>
      <c r="M22" s="311">
        <v>5</v>
      </c>
      <c r="N22" s="314">
        <f t="shared" ref="N22:N31" si="17">((M22/$B22))-1</f>
        <v>0</v>
      </c>
      <c r="O22" s="311">
        <v>5</v>
      </c>
      <c r="P22" s="314">
        <f t="shared" ref="P22:P25" si="18">((O22/$B22))-1</f>
        <v>0</v>
      </c>
      <c r="Q22" s="313">
        <f t="shared" si="12"/>
        <v>15</v>
      </c>
      <c r="R22" s="318">
        <f t="shared" si="13"/>
        <v>0</v>
      </c>
    </row>
    <row r="23" spans="1:18" hidden="1" x14ac:dyDescent="0.25">
      <c r="A23" s="464" t="s">
        <v>196</v>
      </c>
      <c r="B23" s="315">
        <v>2</v>
      </c>
      <c r="C23" s="311">
        <v>1</v>
      </c>
      <c r="D23" s="314">
        <f t="shared" ref="D23:D31" si="19">((C23/$B23))-1</f>
        <v>-0.5</v>
      </c>
      <c r="E23" s="311">
        <v>1</v>
      </c>
      <c r="F23" s="314">
        <f t="shared" si="14"/>
        <v>-0.5</v>
      </c>
      <c r="G23" s="311">
        <v>2</v>
      </c>
      <c r="H23" s="314">
        <f t="shared" si="15"/>
        <v>0</v>
      </c>
      <c r="I23" s="313">
        <f t="shared" si="11"/>
        <v>4</v>
      </c>
      <c r="J23" s="318">
        <f t="shared" ref="J23:J30" si="20">((I23/(3*$B23)))-1</f>
        <v>-0.33333333333333337</v>
      </c>
      <c r="K23" s="311">
        <v>2</v>
      </c>
      <c r="L23" s="314">
        <f t="shared" si="16"/>
        <v>0</v>
      </c>
      <c r="M23" s="311">
        <v>2</v>
      </c>
      <c r="N23" s="314">
        <f t="shared" si="17"/>
        <v>0</v>
      </c>
      <c r="O23" s="311">
        <v>2</v>
      </c>
      <c r="P23" s="314">
        <f t="shared" si="18"/>
        <v>0</v>
      </c>
      <c r="Q23" s="313">
        <f t="shared" si="12"/>
        <v>6</v>
      </c>
      <c r="R23" s="318">
        <f t="shared" si="13"/>
        <v>0</v>
      </c>
    </row>
    <row r="24" spans="1:18" s="319" customFormat="1" hidden="1" x14ac:dyDescent="0.25">
      <c r="A24" s="473" t="s">
        <v>181</v>
      </c>
      <c r="B24" s="335">
        <v>1</v>
      </c>
      <c r="C24" s="469">
        <v>1</v>
      </c>
      <c r="D24" s="474">
        <f t="shared" si="19"/>
        <v>0</v>
      </c>
      <c r="E24" s="469">
        <v>1</v>
      </c>
      <c r="F24" s="474">
        <f t="shared" si="14"/>
        <v>0</v>
      </c>
      <c r="G24" s="469">
        <v>0</v>
      </c>
      <c r="H24" s="474">
        <f t="shared" si="15"/>
        <v>-1</v>
      </c>
      <c r="I24" s="313">
        <f t="shared" si="11"/>
        <v>2</v>
      </c>
      <c r="J24" s="318">
        <f t="shared" si="20"/>
        <v>-0.33333333333333337</v>
      </c>
      <c r="K24" s="469">
        <v>0</v>
      </c>
      <c r="L24" s="474">
        <f t="shared" si="16"/>
        <v>-1</v>
      </c>
      <c r="M24" s="469">
        <v>0</v>
      </c>
      <c r="N24" s="474">
        <f t="shared" si="17"/>
        <v>-1</v>
      </c>
      <c r="O24" s="469">
        <v>0</v>
      </c>
      <c r="P24" s="474">
        <f t="shared" si="18"/>
        <v>-1</v>
      </c>
      <c r="Q24" s="313">
        <f t="shared" si="12"/>
        <v>0</v>
      </c>
      <c r="R24" s="318">
        <f t="shared" si="13"/>
        <v>-1</v>
      </c>
    </row>
    <row r="25" spans="1:18" s="319" customFormat="1" hidden="1" x14ac:dyDescent="0.25">
      <c r="A25" s="473" t="s">
        <v>182</v>
      </c>
      <c r="B25" s="335">
        <v>2</v>
      </c>
      <c r="C25" s="469">
        <v>2</v>
      </c>
      <c r="D25" s="474">
        <f t="shared" si="19"/>
        <v>0</v>
      </c>
      <c r="E25" s="469">
        <v>1</v>
      </c>
      <c r="F25" s="474">
        <f t="shared" si="14"/>
        <v>-0.5</v>
      </c>
      <c r="G25" s="469">
        <v>2</v>
      </c>
      <c r="H25" s="474">
        <f t="shared" si="15"/>
        <v>0</v>
      </c>
      <c r="I25" s="313">
        <f t="shared" si="11"/>
        <v>5</v>
      </c>
      <c r="J25" s="318">
        <f t="shared" si="20"/>
        <v>-0.16666666666666663</v>
      </c>
      <c r="K25" s="469">
        <v>2</v>
      </c>
      <c r="L25" s="474">
        <f t="shared" si="16"/>
        <v>0</v>
      </c>
      <c r="M25" s="469">
        <v>2</v>
      </c>
      <c r="N25" s="474">
        <f t="shared" si="17"/>
        <v>0</v>
      </c>
      <c r="O25" s="469">
        <v>2</v>
      </c>
      <c r="P25" s="474">
        <f t="shared" si="18"/>
        <v>0</v>
      </c>
      <c r="Q25" s="313">
        <f t="shared" si="12"/>
        <v>6</v>
      </c>
      <c r="R25" s="318">
        <f t="shared" si="13"/>
        <v>0</v>
      </c>
    </row>
    <row r="26" spans="1:18" hidden="1" x14ac:dyDescent="0.25">
      <c r="A26" s="464" t="s">
        <v>183</v>
      </c>
      <c r="B26" s="315">
        <v>1</v>
      </c>
      <c r="C26" s="311">
        <v>1</v>
      </c>
      <c r="D26" s="314">
        <f t="shared" si="19"/>
        <v>0</v>
      </c>
      <c r="E26" s="311">
        <v>1</v>
      </c>
      <c r="F26" s="314">
        <f t="shared" si="14"/>
        <v>0</v>
      </c>
      <c r="G26" s="311">
        <v>1</v>
      </c>
      <c r="H26" s="314">
        <f t="shared" si="15"/>
        <v>0</v>
      </c>
      <c r="I26" s="313">
        <f t="shared" si="11"/>
        <v>3</v>
      </c>
      <c r="J26" s="318">
        <f>((I26/(3*$B26)))-1</f>
        <v>0</v>
      </c>
      <c r="K26" s="311">
        <v>1</v>
      </c>
      <c r="L26" s="314">
        <f t="shared" si="16"/>
        <v>0</v>
      </c>
      <c r="M26" s="311">
        <v>1</v>
      </c>
      <c r="N26" s="314">
        <f t="shared" si="17"/>
        <v>0</v>
      </c>
      <c r="O26" s="311">
        <v>1</v>
      </c>
      <c r="P26" s="314">
        <f>((O26/$B26))-1</f>
        <v>0</v>
      </c>
      <c r="Q26" s="313">
        <f t="shared" ref="Q26:Q30" si="21">K26+M26+O26</f>
        <v>3</v>
      </c>
      <c r="R26" s="318">
        <f t="shared" si="13"/>
        <v>0</v>
      </c>
    </row>
    <row r="27" spans="1:18" hidden="1" x14ac:dyDescent="0.25">
      <c r="A27" s="464" t="s">
        <v>184</v>
      </c>
      <c r="B27" s="315">
        <v>2</v>
      </c>
      <c r="C27" s="311">
        <v>2</v>
      </c>
      <c r="D27" s="314">
        <f t="shared" si="19"/>
        <v>0</v>
      </c>
      <c r="E27" s="311">
        <v>2</v>
      </c>
      <c r="F27" s="314">
        <f t="shared" si="14"/>
        <v>0</v>
      </c>
      <c r="G27" s="311">
        <v>2</v>
      </c>
      <c r="H27" s="314">
        <f t="shared" si="15"/>
        <v>0</v>
      </c>
      <c r="I27" s="313">
        <v>0</v>
      </c>
      <c r="J27" s="318">
        <f>((I27/(3*$B27)))-1</f>
        <v>-1</v>
      </c>
      <c r="K27" s="311">
        <v>2</v>
      </c>
      <c r="L27" s="314">
        <f t="shared" si="16"/>
        <v>0</v>
      </c>
      <c r="M27" s="311">
        <v>2</v>
      </c>
      <c r="N27" s="314">
        <f t="shared" si="17"/>
        <v>0</v>
      </c>
      <c r="O27" s="311">
        <v>2</v>
      </c>
      <c r="P27" s="314">
        <f>((O27/$B27))-1</f>
        <v>0</v>
      </c>
      <c r="Q27" s="313">
        <f t="shared" si="21"/>
        <v>6</v>
      </c>
      <c r="R27" s="318">
        <f t="shared" ref="R27:R30" si="22">((Q27/(3*$B27)))-1</f>
        <v>0</v>
      </c>
    </row>
    <row r="28" spans="1:18" hidden="1" x14ac:dyDescent="0.25">
      <c r="A28" s="464" t="s">
        <v>145</v>
      </c>
      <c r="B28" s="315">
        <v>2</v>
      </c>
      <c r="C28" s="311">
        <v>2</v>
      </c>
      <c r="D28" s="314">
        <f t="shared" si="19"/>
        <v>0</v>
      </c>
      <c r="E28" s="311">
        <v>1</v>
      </c>
      <c r="F28" s="314">
        <f t="shared" si="14"/>
        <v>-0.5</v>
      </c>
      <c r="G28" s="311">
        <v>2</v>
      </c>
      <c r="H28" s="314">
        <f t="shared" si="15"/>
        <v>0</v>
      </c>
      <c r="I28" s="313">
        <v>0</v>
      </c>
      <c r="J28" s="318">
        <f t="shared" si="20"/>
        <v>-1</v>
      </c>
      <c r="K28" s="311">
        <v>2</v>
      </c>
      <c r="L28" s="314">
        <f t="shared" si="16"/>
        <v>0</v>
      </c>
      <c r="M28" s="311">
        <v>2</v>
      </c>
      <c r="N28" s="314">
        <f t="shared" si="17"/>
        <v>0</v>
      </c>
      <c r="O28" s="311">
        <v>2</v>
      </c>
      <c r="P28" s="314">
        <f>((O28/$B28))-1</f>
        <v>0</v>
      </c>
      <c r="Q28" s="313">
        <f t="shared" si="21"/>
        <v>6</v>
      </c>
      <c r="R28" s="318">
        <f t="shared" si="22"/>
        <v>0</v>
      </c>
    </row>
    <row r="29" spans="1:18" hidden="1" x14ac:dyDescent="0.25">
      <c r="A29" s="464" t="s">
        <v>185</v>
      </c>
      <c r="B29" s="315">
        <v>1</v>
      </c>
      <c r="C29" s="311">
        <v>1</v>
      </c>
      <c r="D29" s="314">
        <f t="shared" si="19"/>
        <v>0</v>
      </c>
      <c r="E29" s="311">
        <v>1</v>
      </c>
      <c r="F29" s="314">
        <f t="shared" si="14"/>
        <v>0</v>
      </c>
      <c r="G29" s="311">
        <v>1</v>
      </c>
      <c r="H29" s="314">
        <f t="shared" si="15"/>
        <v>0</v>
      </c>
      <c r="I29" s="313">
        <v>0</v>
      </c>
      <c r="J29" s="318">
        <f t="shared" si="20"/>
        <v>-1</v>
      </c>
      <c r="K29" s="311">
        <v>1</v>
      </c>
      <c r="L29" s="314">
        <f t="shared" si="16"/>
        <v>0</v>
      </c>
      <c r="M29" s="311">
        <v>1</v>
      </c>
      <c r="N29" s="314">
        <f t="shared" si="17"/>
        <v>0</v>
      </c>
      <c r="O29" s="311">
        <v>1</v>
      </c>
      <c r="P29" s="314">
        <f>((O29/$B29))-1</f>
        <v>0</v>
      </c>
      <c r="Q29" s="313">
        <f t="shared" si="21"/>
        <v>3</v>
      </c>
      <c r="R29" s="318">
        <f t="shared" si="22"/>
        <v>0</v>
      </c>
    </row>
    <row r="30" spans="1:18" hidden="1" x14ac:dyDescent="0.25">
      <c r="A30" s="464" t="s">
        <v>187</v>
      </c>
      <c r="B30" s="315">
        <v>1</v>
      </c>
      <c r="C30" s="311">
        <v>1</v>
      </c>
      <c r="D30" s="314">
        <f t="shared" si="19"/>
        <v>0</v>
      </c>
      <c r="E30" s="311">
        <v>1</v>
      </c>
      <c r="F30" s="314">
        <f t="shared" si="14"/>
        <v>0</v>
      </c>
      <c r="G30" s="311">
        <v>1</v>
      </c>
      <c r="H30" s="314">
        <f t="shared" si="15"/>
        <v>0</v>
      </c>
      <c r="I30" s="313">
        <v>0</v>
      </c>
      <c r="J30" s="318">
        <f t="shared" si="20"/>
        <v>-1</v>
      </c>
      <c r="K30" s="311">
        <v>1</v>
      </c>
      <c r="L30" s="314">
        <f t="shared" si="16"/>
        <v>0</v>
      </c>
      <c r="M30" s="311">
        <v>1</v>
      </c>
      <c r="N30" s="314">
        <f t="shared" si="17"/>
        <v>0</v>
      </c>
      <c r="O30" s="311">
        <v>1</v>
      </c>
      <c r="P30" s="314">
        <f>((O30/$B30))-1</f>
        <v>0</v>
      </c>
      <c r="Q30" s="313">
        <f t="shared" si="21"/>
        <v>3</v>
      </c>
      <c r="R30" s="318">
        <f t="shared" si="22"/>
        <v>0</v>
      </c>
    </row>
    <row r="31" spans="1:18" hidden="1" x14ac:dyDescent="0.25">
      <c r="A31" s="470" t="s">
        <v>2</v>
      </c>
      <c r="B31" s="315">
        <f>SUM(B20:B30)</f>
        <v>50</v>
      </c>
      <c r="C31" s="471">
        <f>SUM(C20:C30)</f>
        <v>49</v>
      </c>
      <c r="D31" s="314">
        <f t="shared" si="19"/>
        <v>-2.0000000000000018E-2</v>
      </c>
      <c r="E31" s="471">
        <f>SUM(E20:E30)</f>
        <v>45</v>
      </c>
      <c r="F31" s="314">
        <f t="shared" si="14"/>
        <v>-9.9999999999999978E-2</v>
      </c>
      <c r="G31" s="471">
        <f>SUM(G20:G30)</f>
        <v>49</v>
      </c>
      <c r="H31" s="314">
        <f t="shared" si="15"/>
        <v>-2.0000000000000018E-2</v>
      </c>
      <c r="I31" s="313">
        <f t="shared" ref="I31" si="23">C31+E31+G31</f>
        <v>143</v>
      </c>
      <c r="J31" s="318">
        <f t="shared" ref="J31" si="24">((I31/(3*$B31)))-1</f>
        <v>-4.6666666666666634E-2</v>
      </c>
      <c r="K31" s="471">
        <f>SUM(K20:K30)</f>
        <v>49</v>
      </c>
      <c r="L31" s="314">
        <f t="shared" si="16"/>
        <v>-2.0000000000000018E-2</v>
      </c>
      <c r="M31" s="471">
        <f>SUM(M20:M30)</f>
        <v>49</v>
      </c>
      <c r="N31" s="314">
        <f t="shared" si="17"/>
        <v>-2.0000000000000018E-2</v>
      </c>
      <c r="O31" s="471">
        <f>SUM(O20:O30)</f>
        <v>49</v>
      </c>
      <c r="P31" s="314">
        <f t="shared" ref="P31" si="25">((O31/$B31))-1</f>
        <v>-2.0000000000000018E-2</v>
      </c>
      <c r="Q31" s="313">
        <f t="shared" ref="Q31" si="26">K31+M31+O31</f>
        <v>147</v>
      </c>
      <c r="R31" s="318">
        <f t="shared" ref="R31" si="27">((Q31/(3*$B31)))-1</f>
        <v>-2.0000000000000018E-2</v>
      </c>
    </row>
  </sheetData>
  <mergeCells count="4">
    <mergeCell ref="A18:R18"/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2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2:R4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29.2851562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10.7109375" customWidth="1"/>
    <col min="10" max="10" width="11.140625" bestFit="1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0.140625" bestFit="1" customWidth="1"/>
    <col min="17" max="17" width="11.140625" bestFit="1" customWidth="1"/>
    <col min="18" max="18" width="10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361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93" t="s">
        <v>8</v>
      </c>
      <c r="B6" s="94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95" t="s">
        <v>158</v>
      </c>
      <c r="B7" s="96">
        <v>7200</v>
      </c>
      <c r="C7" s="97">
        <v>5781</v>
      </c>
      <c r="D7" s="98">
        <f>((C7/$B7))-1</f>
        <v>-0.19708333333333339</v>
      </c>
      <c r="E7" s="97">
        <v>5593</v>
      </c>
      <c r="F7" s="98">
        <f>((E7/$B7))-1</f>
        <v>-0.22319444444444447</v>
      </c>
      <c r="G7" s="97">
        <v>6762</v>
      </c>
      <c r="H7" s="98">
        <f>((G7/$B7))-1</f>
        <v>-6.0833333333333295E-2</v>
      </c>
      <c r="I7" s="9">
        <f>C7+E7+G7</f>
        <v>18136</v>
      </c>
      <c r="J7" s="12">
        <f>((I7/(3*$B7)))-1</f>
        <v>-0.16037037037037039</v>
      </c>
      <c r="K7" s="97">
        <v>5658</v>
      </c>
      <c r="L7" s="98">
        <f>((K7/$B7))-1</f>
        <v>-0.21416666666666662</v>
      </c>
      <c r="M7" s="97">
        <v>6485</v>
      </c>
      <c r="N7" s="98">
        <f>((M7/$B7))-1</f>
        <v>-9.9305555555555536E-2</v>
      </c>
      <c r="O7" s="97">
        <v>5848</v>
      </c>
      <c r="P7" s="98">
        <f>((O7/$B7))-1</f>
        <v>-0.18777777777777782</v>
      </c>
      <c r="Q7" s="9">
        <f>K7+M7+O7</f>
        <v>17991</v>
      </c>
      <c r="R7" s="12">
        <f>((Q7/(3*$B7)))-1</f>
        <v>-0.16708333333333336</v>
      </c>
    </row>
    <row r="8" spans="1:18" x14ac:dyDescent="0.25">
      <c r="A8" s="384" t="s">
        <v>159</v>
      </c>
      <c r="B8" s="316">
        <v>2496</v>
      </c>
      <c r="C8" s="307">
        <v>1879</v>
      </c>
      <c r="D8" s="385">
        <f t="shared" ref="D8:D18" si="0">((C8/$B8))-1</f>
        <v>-0.24719551282051277</v>
      </c>
      <c r="E8" s="307">
        <v>1426</v>
      </c>
      <c r="F8" s="385">
        <f t="shared" ref="F8:F18" si="1">((E8/$B8))-1</f>
        <v>-0.42868589743589747</v>
      </c>
      <c r="G8" s="307">
        <v>2141</v>
      </c>
      <c r="H8" s="385">
        <f t="shared" ref="H8:H18" si="2">((G8/$B8))-1</f>
        <v>-0.1422275641025641</v>
      </c>
      <c r="I8" s="354">
        <f>C8+E8+G8</f>
        <v>5446</v>
      </c>
      <c r="J8" s="355">
        <f t="shared" ref="J8:J18" si="3">((I8/(3*$B8)))-1</f>
        <v>-0.27270299145299148</v>
      </c>
      <c r="K8" s="307">
        <v>1931</v>
      </c>
      <c r="L8" s="385">
        <f t="shared" ref="L8:L18" si="4">((K8/$B8))-1</f>
        <v>-0.22636217948717952</v>
      </c>
      <c r="M8" s="307">
        <v>2405</v>
      </c>
      <c r="N8" s="385">
        <f t="shared" ref="N8:N18" si="5">((M8/$B8))-1</f>
        <v>-3.645833333333337E-2</v>
      </c>
      <c r="O8" s="307">
        <v>2104</v>
      </c>
      <c r="P8" s="385">
        <f t="shared" ref="P8:P18" si="6">((O8/$B8))-1</f>
        <v>-0.15705128205128205</v>
      </c>
      <c r="Q8" s="354">
        <f t="shared" ref="Q8:Q17" si="7">K8+M8+O8</f>
        <v>6440</v>
      </c>
      <c r="R8" s="355">
        <f t="shared" ref="R8:R18" si="8">((Q8/(3*$B8)))-1</f>
        <v>-0.1399572649572649</v>
      </c>
    </row>
    <row r="9" spans="1:18" x14ac:dyDescent="0.25">
      <c r="A9" s="310" t="s">
        <v>171</v>
      </c>
      <c r="B9" s="315">
        <v>936</v>
      </c>
      <c r="C9" s="311">
        <v>1139</v>
      </c>
      <c r="D9" s="314">
        <f t="shared" si="0"/>
        <v>0.21688034188034178</v>
      </c>
      <c r="E9" s="311">
        <v>823</v>
      </c>
      <c r="F9" s="314">
        <f t="shared" si="1"/>
        <v>-0.12072649572649574</v>
      </c>
      <c r="G9" s="311">
        <v>958</v>
      </c>
      <c r="H9" s="314">
        <f t="shared" si="2"/>
        <v>2.3504273504273421E-2</v>
      </c>
      <c r="I9" s="313">
        <f>C9+E9+G9</f>
        <v>2920</v>
      </c>
      <c r="J9" s="318">
        <f t="shared" si="3"/>
        <v>3.9886039886039892E-2</v>
      </c>
      <c r="K9" s="311">
        <v>881</v>
      </c>
      <c r="L9" s="314">
        <f t="shared" si="4"/>
        <v>-5.8760683760683774E-2</v>
      </c>
      <c r="M9" s="311">
        <v>1230</v>
      </c>
      <c r="N9" s="314">
        <f t="shared" si="5"/>
        <v>0.3141025641025641</v>
      </c>
      <c r="O9" s="311">
        <v>966</v>
      </c>
      <c r="P9" s="314">
        <f t="shared" si="6"/>
        <v>3.2051282051282159E-2</v>
      </c>
      <c r="Q9" s="313">
        <f t="shared" si="7"/>
        <v>3077</v>
      </c>
      <c r="R9" s="318">
        <f t="shared" si="8"/>
        <v>9.5797720797720753E-2</v>
      </c>
    </row>
    <row r="10" spans="1:18" ht="24" x14ac:dyDescent="0.25">
      <c r="A10" s="464" t="s">
        <v>190</v>
      </c>
      <c r="B10" s="315">
        <v>192</v>
      </c>
      <c r="C10" s="311">
        <v>147</v>
      </c>
      <c r="D10" s="314">
        <f t="shared" si="0"/>
        <v>-0.234375</v>
      </c>
      <c r="E10" s="311">
        <v>116</v>
      </c>
      <c r="F10" s="314">
        <f t="shared" si="1"/>
        <v>-0.39583333333333337</v>
      </c>
      <c r="G10" s="311">
        <v>241</v>
      </c>
      <c r="H10" s="314">
        <f t="shared" si="2"/>
        <v>0.25520833333333326</v>
      </c>
      <c r="I10" s="313">
        <f>C10+E10+G10</f>
        <v>504</v>
      </c>
      <c r="J10" s="318">
        <f t="shared" si="3"/>
        <v>-0.125</v>
      </c>
      <c r="K10" s="311">
        <v>170</v>
      </c>
      <c r="L10" s="314">
        <f t="shared" si="4"/>
        <v>-0.11458333333333337</v>
      </c>
      <c r="M10" s="311">
        <v>267</v>
      </c>
      <c r="N10" s="314">
        <f t="shared" si="5"/>
        <v>0.390625</v>
      </c>
      <c r="O10" s="311">
        <v>232</v>
      </c>
      <c r="P10" s="314">
        <f t="shared" si="6"/>
        <v>0.20833333333333326</v>
      </c>
      <c r="Q10" s="313">
        <f t="shared" si="7"/>
        <v>669</v>
      </c>
      <c r="R10" s="318">
        <f t="shared" si="8"/>
        <v>0.16145833333333326</v>
      </c>
    </row>
    <row r="11" spans="1:18" ht="24" x14ac:dyDescent="0.25">
      <c r="A11" s="464" t="s">
        <v>202</v>
      </c>
      <c r="B11" s="315">
        <v>672</v>
      </c>
      <c r="C11" s="311">
        <v>365</v>
      </c>
      <c r="D11" s="314">
        <f t="shared" si="0"/>
        <v>-0.45684523809523814</v>
      </c>
      <c r="E11" s="311">
        <v>331</v>
      </c>
      <c r="F11" s="314">
        <f t="shared" si="1"/>
        <v>-0.50744047619047616</v>
      </c>
      <c r="G11" s="311">
        <v>415</v>
      </c>
      <c r="H11" s="314">
        <f t="shared" si="2"/>
        <v>-0.38244047619047616</v>
      </c>
      <c r="I11" s="313">
        <f t="shared" ref="I11:I17" si="9">C11+E11+G11</f>
        <v>1111</v>
      </c>
      <c r="J11" s="318">
        <f t="shared" ref="J11:J17" si="10">((I11/(3*$B11)))-1</f>
        <v>-0.44890873015873012</v>
      </c>
      <c r="K11" s="311">
        <v>478</v>
      </c>
      <c r="L11" s="314">
        <f t="shared" si="4"/>
        <v>-0.28869047619047616</v>
      </c>
      <c r="M11" s="311">
        <v>569</v>
      </c>
      <c r="N11" s="314">
        <f t="shared" si="5"/>
        <v>-0.15327380952380953</v>
      </c>
      <c r="O11" s="311">
        <v>498</v>
      </c>
      <c r="P11" s="314">
        <f t="shared" si="6"/>
        <v>-0.2589285714285714</v>
      </c>
      <c r="Q11" s="313">
        <f t="shared" si="7"/>
        <v>1545</v>
      </c>
      <c r="R11" s="318">
        <f t="shared" si="8"/>
        <v>-0.23363095238095233</v>
      </c>
    </row>
    <row r="12" spans="1:18" ht="24" x14ac:dyDescent="0.25">
      <c r="A12" s="464" t="s">
        <v>3</v>
      </c>
      <c r="B12" s="315">
        <v>192</v>
      </c>
      <c r="C12" s="311">
        <v>346</v>
      </c>
      <c r="D12" s="314">
        <f t="shared" si="0"/>
        <v>0.80208333333333326</v>
      </c>
      <c r="E12" s="311">
        <v>429</v>
      </c>
      <c r="F12" s="314">
        <f t="shared" si="1"/>
        <v>1.234375</v>
      </c>
      <c r="G12" s="311">
        <v>290</v>
      </c>
      <c r="H12" s="314">
        <f t="shared" si="2"/>
        <v>0.51041666666666674</v>
      </c>
      <c r="I12" s="313">
        <f t="shared" si="9"/>
        <v>1065</v>
      </c>
      <c r="J12" s="318">
        <f t="shared" si="10"/>
        <v>0.84895833333333326</v>
      </c>
      <c r="K12" s="311">
        <v>220</v>
      </c>
      <c r="L12" s="314">
        <f t="shared" si="4"/>
        <v>0.14583333333333326</v>
      </c>
      <c r="M12" s="311">
        <v>302</v>
      </c>
      <c r="N12" s="314">
        <f t="shared" si="5"/>
        <v>0.57291666666666674</v>
      </c>
      <c r="O12" s="311">
        <v>345</v>
      </c>
      <c r="P12" s="314">
        <f t="shared" si="6"/>
        <v>0.796875</v>
      </c>
      <c r="Q12" s="313">
        <f t="shared" si="7"/>
        <v>867</v>
      </c>
      <c r="R12" s="318">
        <f t="shared" si="8"/>
        <v>0.50520833333333326</v>
      </c>
    </row>
    <row r="13" spans="1:18" x14ac:dyDescent="0.25">
      <c r="A13" s="310" t="s">
        <v>176</v>
      </c>
      <c r="B13" s="315">
        <v>672</v>
      </c>
      <c r="C13" s="311">
        <v>588</v>
      </c>
      <c r="D13" s="314">
        <f t="shared" si="0"/>
        <v>-0.125</v>
      </c>
      <c r="E13" s="311">
        <v>1093</v>
      </c>
      <c r="F13" s="314">
        <f t="shared" si="1"/>
        <v>0.62648809523809534</v>
      </c>
      <c r="G13" s="311">
        <v>1489</v>
      </c>
      <c r="H13" s="314">
        <f t="shared" si="2"/>
        <v>1.2157738095238093</v>
      </c>
      <c r="I13" s="313">
        <f t="shared" si="9"/>
        <v>3170</v>
      </c>
      <c r="J13" s="318">
        <f t="shared" si="10"/>
        <v>0.57242063492063489</v>
      </c>
      <c r="K13" s="311">
        <v>1254</v>
      </c>
      <c r="L13" s="314">
        <f t="shared" si="4"/>
        <v>0.8660714285714286</v>
      </c>
      <c r="M13" s="311">
        <v>1156</v>
      </c>
      <c r="N13" s="314">
        <f t="shared" si="5"/>
        <v>0.72023809523809534</v>
      </c>
      <c r="O13" s="311">
        <v>792</v>
      </c>
      <c r="P13" s="314">
        <f t="shared" si="6"/>
        <v>0.1785714285714286</v>
      </c>
      <c r="Q13" s="313">
        <f t="shared" si="7"/>
        <v>3202</v>
      </c>
      <c r="R13" s="318">
        <f t="shared" si="8"/>
        <v>0.5882936507936507</v>
      </c>
    </row>
    <row r="14" spans="1:18" x14ac:dyDescent="0.25">
      <c r="A14" s="310" t="s">
        <v>172</v>
      </c>
      <c r="B14" s="315">
        <v>526</v>
      </c>
      <c r="C14" s="311">
        <v>420</v>
      </c>
      <c r="D14" s="314">
        <f t="shared" si="0"/>
        <v>-0.20152091254752846</v>
      </c>
      <c r="E14" s="311">
        <v>314</v>
      </c>
      <c r="F14" s="314">
        <f t="shared" si="1"/>
        <v>-0.40304182509505704</v>
      </c>
      <c r="G14" s="311">
        <v>469</v>
      </c>
      <c r="H14" s="314">
        <f t="shared" si="2"/>
        <v>-0.10836501901140683</v>
      </c>
      <c r="I14" s="313">
        <f t="shared" si="9"/>
        <v>1203</v>
      </c>
      <c r="J14" s="318">
        <f t="shared" si="10"/>
        <v>-0.23764258555133078</v>
      </c>
      <c r="K14" s="311">
        <v>406</v>
      </c>
      <c r="L14" s="314">
        <f t="shared" si="4"/>
        <v>-0.22813688212927752</v>
      </c>
      <c r="M14" s="311">
        <v>255</v>
      </c>
      <c r="N14" s="314">
        <f t="shared" si="5"/>
        <v>-0.51520912547528519</v>
      </c>
      <c r="O14" s="311">
        <v>235</v>
      </c>
      <c r="P14" s="314">
        <f t="shared" si="6"/>
        <v>-0.55323193916349811</v>
      </c>
      <c r="Q14" s="313">
        <f t="shared" si="7"/>
        <v>896</v>
      </c>
      <c r="R14" s="318">
        <f t="shared" si="8"/>
        <v>-0.43219264892268694</v>
      </c>
    </row>
    <row r="15" spans="1:18" x14ac:dyDescent="0.25">
      <c r="A15" s="310" t="s">
        <v>162</v>
      </c>
      <c r="B15" s="315">
        <v>263</v>
      </c>
      <c r="C15" s="311">
        <v>186</v>
      </c>
      <c r="D15" s="314">
        <f t="shared" si="0"/>
        <v>-0.29277566539923949</v>
      </c>
      <c r="E15" s="311">
        <v>211</v>
      </c>
      <c r="F15" s="314">
        <f t="shared" si="1"/>
        <v>-0.19771863117870725</v>
      </c>
      <c r="G15" s="311">
        <v>237</v>
      </c>
      <c r="H15" s="314">
        <f t="shared" si="2"/>
        <v>-9.8859315589353569E-2</v>
      </c>
      <c r="I15" s="313">
        <f t="shared" si="9"/>
        <v>634</v>
      </c>
      <c r="J15" s="318">
        <f t="shared" si="10"/>
        <v>-0.19645120405576677</v>
      </c>
      <c r="K15" s="311">
        <v>149</v>
      </c>
      <c r="L15" s="314">
        <f t="shared" si="4"/>
        <v>-0.43346007604562742</v>
      </c>
      <c r="M15" s="311">
        <v>0</v>
      </c>
      <c r="N15" s="314">
        <f t="shared" si="5"/>
        <v>-1</v>
      </c>
      <c r="O15" s="311">
        <v>206</v>
      </c>
      <c r="P15" s="314">
        <f t="shared" si="6"/>
        <v>-0.21673003802281365</v>
      </c>
      <c r="Q15" s="313">
        <f t="shared" si="7"/>
        <v>355</v>
      </c>
      <c r="R15" s="318">
        <f t="shared" si="8"/>
        <v>-0.55006337135614702</v>
      </c>
    </row>
    <row r="16" spans="1:18" x14ac:dyDescent="0.25">
      <c r="A16" s="310" t="s">
        <v>163</v>
      </c>
      <c r="B16" s="315">
        <v>263</v>
      </c>
      <c r="C16" s="311">
        <v>0</v>
      </c>
      <c r="D16" s="314">
        <f t="shared" si="0"/>
        <v>-1</v>
      </c>
      <c r="E16" s="311">
        <v>0</v>
      </c>
      <c r="F16" s="314">
        <f t="shared" si="1"/>
        <v>-1</v>
      </c>
      <c r="G16" s="311">
        <v>0</v>
      </c>
      <c r="H16" s="314">
        <f t="shared" si="2"/>
        <v>-1</v>
      </c>
      <c r="I16" s="313">
        <f t="shared" si="9"/>
        <v>0</v>
      </c>
      <c r="J16" s="318">
        <f t="shared" si="10"/>
        <v>-1</v>
      </c>
      <c r="K16" s="311">
        <v>0</v>
      </c>
      <c r="L16" s="314">
        <f t="shared" si="4"/>
        <v>-1</v>
      </c>
      <c r="M16" s="311">
        <v>0</v>
      </c>
      <c r="N16" s="314">
        <f t="shared" si="5"/>
        <v>-1</v>
      </c>
      <c r="O16" s="311">
        <v>127</v>
      </c>
      <c r="P16" s="314">
        <f t="shared" si="6"/>
        <v>-0.5171102661596958</v>
      </c>
      <c r="Q16" s="313">
        <f t="shared" si="7"/>
        <v>127</v>
      </c>
      <c r="R16" s="318">
        <f t="shared" si="8"/>
        <v>-0.8390367553865653</v>
      </c>
    </row>
    <row r="17" spans="1:18" ht="15.75" thickBot="1" x14ac:dyDescent="0.3">
      <c r="A17" s="386" t="s">
        <v>173</v>
      </c>
      <c r="B17" s="387">
        <v>166</v>
      </c>
      <c r="C17" s="388">
        <v>133</v>
      </c>
      <c r="D17" s="389">
        <f t="shared" si="0"/>
        <v>-0.1987951807228916</v>
      </c>
      <c r="E17" s="388">
        <v>152</v>
      </c>
      <c r="F17" s="389">
        <f t="shared" si="1"/>
        <v>-8.4337349397590411E-2</v>
      </c>
      <c r="G17" s="388">
        <v>173</v>
      </c>
      <c r="H17" s="389">
        <f t="shared" si="2"/>
        <v>4.2168674698795261E-2</v>
      </c>
      <c r="I17" s="313">
        <f t="shared" si="9"/>
        <v>458</v>
      </c>
      <c r="J17" s="318">
        <f t="shared" si="10"/>
        <v>-8.0321285140562249E-2</v>
      </c>
      <c r="K17" s="388">
        <v>130</v>
      </c>
      <c r="L17" s="389">
        <f t="shared" si="4"/>
        <v>-0.2168674698795181</v>
      </c>
      <c r="M17" s="388">
        <v>0</v>
      </c>
      <c r="N17" s="389">
        <f t="shared" si="5"/>
        <v>-1</v>
      </c>
      <c r="O17" s="388">
        <v>159</v>
      </c>
      <c r="P17" s="390">
        <f t="shared" si="6"/>
        <v>-4.216867469879515E-2</v>
      </c>
      <c r="Q17" s="334">
        <f t="shared" si="7"/>
        <v>289</v>
      </c>
      <c r="R17" s="312">
        <f t="shared" si="8"/>
        <v>-0.41967871485943775</v>
      </c>
    </row>
    <row r="18" spans="1:18" ht="15.75" thickBot="1" x14ac:dyDescent="0.3">
      <c r="A18" s="50" t="s">
        <v>2</v>
      </c>
      <c r="B18" s="52">
        <f>SUM(B7:B17)</f>
        <v>13578</v>
      </c>
      <c r="C18" s="54">
        <f>SUM(C7:C17)</f>
        <v>10984</v>
      </c>
      <c r="D18" s="59">
        <f t="shared" si="0"/>
        <v>-0.19104433642657237</v>
      </c>
      <c r="E18" s="54">
        <f>SUM(E7:E17)</f>
        <v>10488</v>
      </c>
      <c r="F18" s="59">
        <f t="shared" si="1"/>
        <v>-0.22757401679186917</v>
      </c>
      <c r="G18" s="54">
        <f>SUM(G7:G17)</f>
        <v>13175</v>
      </c>
      <c r="H18" s="59">
        <f t="shared" si="2"/>
        <v>-2.9680365296803624E-2</v>
      </c>
      <c r="I18" s="53">
        <f>C18+E18+G18</f>
        <v>34647</v>
      </c>
      <c r="J18" s="133">
        <f t="shared" si="3"/>
        <v>-0.14943290617174843</v>
      </c>
      <c r="K18" s="54">
        <f>SUM(K7:K17)</f>
        <v>11277</v>
      </c>
      <c r="L18" s="59">
        <f t="shared" si="4"/>
        <v>-0.16946531153336275</v>
      </c>
      <c r="M18" s="54">
        <f>SUM(M7:M17)</f>
        <v>12669</v>
      </c>
      <c r="N18" s="59">
        <f t="shared" si="5"/>
        <v>-6.6946531153336264E-2</v>
      </c>
      <c r="O18" s="54">
        <f>SUM(O7:O17)</f>
        <v>11512</v>
      </c>
      <c r="P18" s="59">
        <f t="shared" si="6"/>
        <v>-0.15215790248932093</v>
      </c>
      <c r="Q18" s="53">
        <f>K18+M18+O18</f>
        <v>35458</v>
      </c>
      <c r="R18" s="133">
        <f t="shared" si="8"/>
        <v>-0.12952324839200668</v>
      </c>
    </row>
    <row r="21" spans="1:18" ht="15.75" hidden="1" x14ac:dyDescent="0.25">
      <c r="A21" s="801" t="s">
        <v>362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</row>
    <row r="22" spans="1:18" ht="24.75" hidden="1" thickBot="1" x14ac:dyDescent="0.3">
      <c r="A22" s="99" t="s">
        <v>8</v>
      </c>
      <c r="B22" s="100" t="s">
        <v>9</v>
      </c>
      <c r="C22" s="122" t="str">
        <f t="shared" ref="C22:R22" si="11">C6</f>
        <v>JAN</v>
      </c>
      <c r="D22" s="123" t="str">
        <f t="shared" si="11"/>
        <v>%</v>
      </c>
      <c r="E22" s="122" t="str">
        <f t="shared" si="11"/>
        <v>FEV</v>
      </c>
      <c r="F22" s="123" t="str">
        <f t="shared" si="11"/>
        <v>%</v>
      </c>
      <c r="G22" s="122" t="str">
        <f t="shared" si="11"/>
        <v>MAR</v>
      </c>
      <c r="H22" s="123" t="str">
        <f t="shared" si="11"/>
        <v>%</v>
      </c>
      <c r="I22" s="124" t="str">
        <f t="shared" si="11"/>
        <v>Trimestre</v>
      </c>
      <c r="J22" s="124" t="str">
        <f t="shared" si="11"/>
        <v>%</v>
      </c>
      <c r="K22" s="122" t="str">
        <f t="shared" si="11"/>
        <v>ABR</v>
      </c>
      <c r="L22" s="123" t="str">
        <f t="shared" si="11"/>
        <v>%</v>
      </c>
      <c r="M22" s="122" t="str">
        <f t="shared" si="11"/>
        <v>MAI</v>
      </c>
      <c r="N22" s="123" t="str">
        <f t="shared" si="11"/>
        <v>%</v>
      </c>
      <c r="O22" s="122" t="str">
        <f t="shared" si="11"/>
        <v>JUN</v>
      </c>
      <c r="P22" s="123" t="str">
        <f t="shared" si="11"/>
        <v>%</v>
      </c>
      <c r="Q22" s="124" t="str">
        <f t="shared" si="11"/>
        <v>Trimestre</v>
      </c>
      <c r="R22" s="124" t="str">
        <f t="shared" si="11"/>
        <v>%</v>
      </c>
    </row>
    <row r="23" spans="1:18" ht="15.75" hidden="1" thickTop="1" x14ac:dyDescent="0.25">
      <c r="A23" s="95" t="s">
        <v>164</v>
      </c>
      <c r="B23" s="96">
        <v>36</v>
      </c>
      <c r="C23" s="97">
        <v>36</v>
      </c>
      <c r="D23" s="98">
        <f>((C23/$B23))-1</f>
        <v>0</v>
      </c>
      <c r="E23" s="295">
        <v>36</v>
      </c>
      <c r="F23" s="98">
        <f>((E23/$B23))-1</f>
        <v>0</v>
      </c>
      <c r="G23" s="295">
        <v>36</v>
      </c>
      <c r="H23" s="98">
        <f>((G23/$B23))-1</f>
        <v>0</v>
      </c>
      <c r="I23" s="9">
        <f>C23+E23+G23</f>
        <v>108</v>
      </c>
      <c r="J23" s="12">
        <f>((I23/(3*$B23)))-1</f>
        <v>0</v>
      </c>
      <c r="K23" s="295">
        <v>36</v>
      </c>
      <c r="L23" s="98">
        <f>((K23/$B23))-1</f>
        <v>0</v>
      </c>
      <c r="M23" s="295">
        <v>36</v>
      </c>
      <c r="N23" s="98">
        <f>((M23/$B23))-1</f>
        <v>0</v>
      </c>
      <c r="O23" s="295">
        <v>35</v>
      </c>
      <c r="P23" s="98">
        <f>((O23/$B23))-1</f>
        <v>-2.777777777777779E-2</v>
      </c>
      <c r="Q23" s="9">
        <f>K23+M23+O23</f>
        <v>107</v>
      </c>
      <c r="R23" s="12">
        <f>((Q23/(3*$B23)))-1</f>
        <v>-9.2592592592593004E-3</v>
      </c>
    </row>
    <row r="24" spans="1:18" hidden="1" x14ac:dyDescent="0.25">
      <c r="A24" s="95" t="s">
        <v>165</v>
      </c>
      <c r="B24" s="96">
        <v>6</v>
      </c>
      <c r="C24" s="97">
        <v>6</v>
      </c>
      <c r="D24" s="98">
        <f t="shared" ref="D24:D34" si="12">((C24/$B24))-1</f>
        <v>0</v>
      </c>
      <c r="E24" s="295">
        <v>5</v>
      </c>
      <c r="F24" s="98">
        <f t="shared" ref="F24:F34" si="13">((E24/$B24))-1</f>
        <v>-0.16666666666666663</v>
      </c>
      <c r="G24" s="295">
        <v>5</v>
      </c>
      <c r="H24" s="98">
        <f t="shared" ref="H24:H34" si="14">((G24/$B24))-1</f>
        <v>-0.16666666666666663</v>
      </c>
      <c r="I24" s="9">
        <f t="shared" ref="I24:I33" si="15">C24+E24+G24</f>
        <v>16</v>
      </c>
      <c r="J24" s="12">
        <f t="shared" ref="J24:J33" si="16">((I24/(3*$B24)))-1</f>
        <v>-0.11111111111111116</v>
      </c>
      <c r="K24" s="295">
        <v>5</v>
      </c>
      <c r="L24" s="98">
        <f t="shared" ref="L24:L34" si="17">((K24/$B24))-1</f>
        <v>-0.16666666666666663</v>
      </c>
      <c r="M24" s="295">
        <v>6</v>
      </c>
      <c r="N24" s="98">
        <f t="shared" ref="N24:N34" si="18">((M24/$B24))-1</f>
        <v>0</v>
      </c>
      <c r="O24" s="295">
        <v>6</v>
      </c>
      <c r="P24" s="98">
        <f t="shared" ref="P24:P34" si="19">((O24/$B24))-1</f>
        <v>0</v>
      </c>
      <c r="Q24" s="9">
        <f t="shared" ref="Q24:Q33" si="20">K24+M24+O24</f>
        <v>17</v>
      </c>
      <c r="R24" s="12">
        <f t="shared" ref="R24:R33" si="21">((Q24/(3*$B24)))-1</f>
        <v>-5.555555555555558E-2</v>
      </c>
    </row>
    <row r="25" spans="1:18" hidden="1" x14ac:dyDescent="0.25">
      <c r="A25" s="384" t="s">
        <v>174</v>
      </c>
      <c r="B25" s="316">
        <v>6</v>
      </c>
      <c r="C25" s="307">
        <v>6</v>
      </c>
      <c r="D25" s="385">
        <f t="shared" si="12"/>
        <v>0</v>
      </c>
      <c r="E25" s="307">
        <v>6</v>
      </c>
      <c r="F25" s="385">
        <f t="shared" si="13"/>
        <v>0</v>
      </c>
      <c r="G25" s="307">
        <v>6</v>
      </c>
      <c r="H25" s="385">
        <f t="shared" si="14"/>
        <v>0</v>
      </c>
      <c r="I25" s="305">
        <f t="shared" si="15"/>
        <v>18</v>
      </c>
      <c r="J25" s="299">
        <f t="shared" si="16"/>
        <v>0</v>
      </c>
      <c r="K25" s="307">
        <v>6</v>
      </c>
      <c r="L25" s="385">
        <f t="shared" si="17"/>
        <v>0</v>
      </c>
      <c r="M25" s="307">
        <v>6</v>
      </c>
      <c r="N25" s="385">
        <f t="shared" si="18"/>
        <v>0</v>
      </c>
      <c r="O25" s="307">
        <v>6</v>
      </c>
      <c r="P25" s="385">
        <f t="shared" si="19"/>
        <v>0</v>
      </c>
      <c r="Q25" s="305">
        <f t="shared" si="20"/>
        <v>18</v>
      </c>
      <c r="R25" s="299">
        <f t="shared" si="21"/>
        <v>0</v>
      </c>
    </row>
    <row r="26" spans="1:18" hidden="1" x14ac:dyDescent="0.25">
      <c r="A26" s="310" t="s">
        <v>194</v>
      </c>
      <c r="B26" s="315">
        <v>1</v>
      </c>
      <c r="C26" s="311">
        <v>0</v>
      </c>
      <c r="D26" s="314">
        <f t="shared" si="12"/>
        <v>-1</v>
      </c>
      <c r="E26" s="311">
        <v>1</v>
      </c>
      <c r="F26" s="314">
        <f t="shared" si="13"/>
        <v>0</v>
      </c>
      <c r="G26" s="311">
        <v>1</v>
      </c>
      <c r="H26" s="314">
        <f t="shared" si="14"/>
        <v>0</v>
      </c>
      <c r="I26" s="313">
        <f t="shared" si="15"/>
        <v>2</v>
      </c>
      <c r="J26" s="318">
        <f t="shared" si="16"/>
        <v>-0.33333333333333337</v>
      </c>
      <c r="K26" s="311">
        <v>1</v>
      </c>
      <c r="L26" s="314">
        <f t="shared" si="17"/>
        <v>0</v>
      </c>
      <c r="M26" s="311">
        <v>1</v>
      </c>
      <c r="N26" s="314">
        <f t="shared" si="18"/>
        <v>0</v>
      </c>
      <c r="O26" s="311">
        <v>1</v>
      </c>
      <c r="P26" s="314">
        <f t="shared" si="19"/>
        <v>0</v>
      </c>
      <c r="Q26" s="313">
        <f t="shared" si="20"/>
        <v>3</v>
      </c>
      <c r="R26" s="318">
        <f t="shared" si="21"/>
        <v>0</v>
      </c>
    </row>
    <row r="27" spans="1:18" hidden="1" x14ac:dyDescent="0.25">
      <c r="A27" s="310" t="s">
        <v>195</v>
      </c>
      <c r="B27" s="315">
        <v>2</v>
      </c>
      <c r="C27" s="311">
        <v>2</v>
      </c>
      <c r="D27" s="314">
        <f t="shared" si="12"/>
        <v>0</v>
      </c>
      <c r="E27" s="311">
        <v>2</v>
      </c>
      <c r="F27" s="314">
        <f t="shared" si="13"/>
        <v>0</v>
      </c>
      <c r="G27" s="311">
        <v>2</v>
      </c>
      <c r="H27" s="314">
        <f t="shared" si="14"/>
        <v>0</v>
      </c>
      <c r="I27" s="313">
        <f t="shared" si="15"/>
        <v>6</v>
      </c>
      <c r="J27" s="318">
        <f t="shared" si="16"/>
        <v>0</v>
      </c>
      <c r="K27" s="311">
        <v>2</v>
      </c>
      <c r="L27" s="314">
        <f t="shared" si="17"/>
        <v>0</v>
      </c>
      <c r="M27" s="311">
        <v>2</v>
      </c>
      <c r="N27" s="314">
        <f t="shared" si="18"/>
        <v>0</v>
      </c>
      <c r="O27" s="311">
        <v>2</v>
      </c>
      <c r="P27" s="314">
        <f t="shared" si="19"/>
        <v>0</v>
      </c>
      <c r="Q27" s="313">
        <f t="shared" si="20"/>
        <v>6</v>
      </c>
      <c r="R27" s="318">
        <f t="shared" si="21"/>
        <v>0</v>
      </c>
    </row>
    <row r="28" spans="1:18" hidden="1" x14ac:dyDescent="0.25">
      <c r="A28" s="310" t="s">
        <v>167</v>
      </c>
      <c r="B28" s="315">
        <v>2</v>
      </c>
      <c r="C28" s="311">
        <v>2</v>
      </c>
      <c r="D28" s="314">
        <f t="shared" si="12"/>
        <v>0</v>
      </c>
      <c r="E28" s="311">
        <v>2</v>
      </c>
      <c r="F28" s="314">
        <f t="shared" si="13"/>
        <v>0</v>
      </c>
      <c r="G28" s="311">
        <v>1</v>
      </c>
      <c r="H28" s="314">
        <f t="shared" si="14"/>
        <v>-0.5</v>
      </c>
      <c r="I28" s="313">
        <f t="shared" si="15"/>
        <v>5</v>
      </c>
      <c r="J28" s="318">
        <f t="shared" si="16"/>
        <v>-0.16666666666666663</v>
      </c>
      <c r="K28" s="311">
        <v>3</v>
      </c>
      <c r="L28" s="314">
        <f t="shared" si="17"/>
        <v>0.5</v>
      </c>
      <c r="M28" s="311">
        <v>3</v>
      </c>
      <c r="N28" s="314">
        <f t="shared" si="18"/>
        <v>0.5</v>
      </c>
      <c r="O28" s="311">
        <v>2</v>
      </c>
      <c r="P28" s="314">
        <f t="shared" si="19"/>
        <v>0</v>
      </c>
      <c r="Q28" s="313">
        <f t="shared" si="20"/>
        <v>8</v>
      </c>
      <c r="R28" s="318">
        <f t="shared" si="21"/>
        <v>0.33333333333333326</v>
      </c>
    </row>
    <row r="29" spans="1:18" hidden="1" x14ac:dyDescent="0.25">
      <c r="A29" s="310" t="s">
        <v>168</v>
      </c>
      <c r="B29" s="315">
        <v>1</v>
      </c>
      <c r="C29" s="311">
        <v>1</v>
      </c>
      <c r="D29" s="314">
        <f t="shared" si="12"/>
        <v>0</v>
      </c>
      <c r="E29" s="311">
        <v>1</v>
      </c>
      <c r="F29" s="314">
        <f t="shared" si="13"/>
        <v>0</v>
      </c>
      <c r="G29" s="311">
        <v>1</v>
      </c>
      <c r="H29" s="314">
        <f t="shared" si="14"/>
        <v>0</v>
      </c>
      <c r="I29" s="313">
        <f t="shared" si="15"/>
        <v>3</v>
      </c>
      <c r="J29" s="318">
        <f t="shared" si="16"/>
        <v>0</v>
      </c>
      <c r="K29" s="311">
        <v>1</v>
      </c>
      <c r="L29" s="314">
        <f t="shared" si="17"/>
        <v>0</v>
      </c>
      <c r="M29" s="311">
        <v>1</v>
      </c>
      <c r="N29" s="314">
        <f t="shared" si="18"/>
        <v>0</v>
      </c>
      <c r="O29" s="311">
        <v>1</v>
      </c>
      <c r="P29" s="314">
        <f t="shared" si="19"/>
        <v>0</v>
      </c>
      <c r="Q29" s="313">
        <f t="shared" si="20"/>
        <v>3</v>
      </c>
      <c r="R29" s="318">
        <f t="shared" si="21"/>
        <v>0</v>
      </c>
    </row>
    <row r="30" spans="1:18" hidden="1" x14ac:dyDescent="0.25">
      <c r="A30" s="310" t="s">
        <v>169</v>
      </c>
      <c r="B30" s="315">
        <v>1</v>
      </c>
      <c r="C30" s="311">
        <v>1</v>
      </c>
      <c r="D30" s="314">
        <f t="shared" si="12"/>
        <v>0</v>
      </c>
      <c r="E30" s="311">
        <v>0</v>
      </c>
      <c r="F30" s="314">
        <f t="shared" si="13"/>
        <v>-1</v>
      </c>
      <c r="G30" s="311">
        <v>0</v>
      </c>
      <c r="H30" s="314">
        <f t="shared" si="14"/>
        <v>-1</v>
      </c>
      <c r="I30" s="313">
        <f t="shared" si="15"/>
        <v>1</v>
      </c>
      <c r="J30" s="318">
        <f t="shared" si="16"/>
        <v>-0.66666666666666674</v>
      </c>
      <c r="K30" s="311">
        <v>0</v>
      </c>
      <c r="L30" s="314">
        <f t="shared" si="17"/>
        <v>-1</v>
      </c>
      <c r="M30" s="311">
        <v>1</v>
      </c>
      <c r="N30" s="314">
        <f t="shared" si="18"/>
        <v>0</v>
      </c>
      <c r="O30" s="311">
        <v>1</v>
      </c>
      <c r="P30" s="314">
        <f t="shared" si="19"/>
        <v>0</v>
      </c>
      <c r="Q30" s="313">
        <f t="shared" si="20"/>
        <v>2</v>
      </c>
      <c r="R30" s="318">
        <f t="shared" si="21"/>
        <v>-0.33333333333333337</v>
      </c>
    </row>
    <row r="31" spans="1:18" hidden="1" x14ac:dyDescent="0.25">
      <c r="A31" s="310" t="s">
        <v>175</v>
      </c>
      <c r="B31" s="315">
        <v>1</v>
      </c>
      <c r="C31" s="311">
        <v>1</v>
      </c>
      <c r="D31" s="314">
        <f t="shared" si="12"/>
        <v>0</v>
      </c>
      <c r="E31" s="311">
        <v>1</v>
      </c>
      <c r="F31" s="314">
        <f t="shared" si="13"/>
        <v>0</v>
      </c>
      <c r="G31" s="311">
        <v>1</v>
      </c>
      <c r="H31" s="314">
        <f t="shared" si="14"/>
        <v>0</v>
      </c>
      <c r="I31" s="313">
        <f t="shared" si="15"/>
        <v>3</v>
      </c>
      <c r="J31" s="318">
        <f t="shared" si="16"/>
        <v>0</v>
      </c>
      <c r="K31" s="311">
        <v>1</v>
      </c>
      <c r="L31" s="314">
        <f t="shared" si="17"/>
        <v>0</v>
      </c>
      <c r="M31" s="311">
        <v>1</v>
      </c>
      <c r="N31" s="314">
        <f t="shared" si="18"/>
        <v>0</v>
      </c>
      <c r="O31" s="311">
        <v>1</v>
      </c>
      <c r="P31" s="314">
        <f t="shared" si="19"/>
        <v>0</v>
      </c>
      <c r="Q31" s="313">
        <f t="shared" si="20"/>
        <v>3</v>
      </c>
      <c r="R31" s="318">
        <f t="shared" si="21"/>
        <v>0</v>
      </c>
    </row>
    <row r="32" spans="1:18" hidden="1" x14ac:dyDescent="0.25">
      <c r="A32" s="310" t="s">
        <v>145</v>
      </c>
      <c r="B32" s="315">
        <v>3</v>
      </c>
      <c r="C32" s="311">
        <v>2</v>
      </c>
      <c r="D32" s="314">
        <f t="shared" si="12"/>
        <v>-0.33333333333333337</v>
      </c>
      <c r="E32" s="311">
        <v>3</v>
      </c>
      <c r="F32" s="314">
        <f t="shared" si="13"/>
        <v>0</v>
      </c>
      <c r="G32" s="311">
        <v>3</v>
      </c>
      <c r="H32" s="314">
        <f t="shared" si="14"/>
        <v>0</v>
      </c>
      <c r="I32" s="313">
        <f t="shared" si="15"/>
        <v>8</v>
      </c>
      <c r="J32" s="318">
        <f t="shared" si="16"/>
        <v>-0.11111111111111116</v>
      </c>
      <c r="K32" s="311">
        <v>3</v>
      </c>
      <c r="L32" s="314">
        <f t="shared" si="17"/>
        <v>0</v>
      </c>
      <c r="M32" s="311">
        <v>3</v>
      </c>
      <c r="N32" s="314">
        <f t="shared" si="18"/>
        <v>0</v>
      </c>
      <c r="O32" s="311">
        <v>3</v>
      </c>
      <c r="P32" s="314">
        <f t="shared" si="19"/>
        <v>0</v>
      </c>
      <c r="Q32" s="313">
        <f t="shared" si="20"/>
        <v>9</v>
      </c>
      <c r="R32" s="318">
        <f t="shared" si="21"/>
        <v>0</v>
      </c>
    </row>
    <row r="33" spans="1:18" ht="15.75" hidden="1" thickBot="1" x14ac:dyDescent="0.3">
      <c r="A33" s="49" t="s">
        <v>184</v>
      </c>
      <c r="B33" s="32">
        <v>2</v>
      </c>
      <c r="C33" s="301">
        <v>3</v>
      </c>
      <c r="D33" s="303">
        <f t="shared" si="12"/>
        <v>0.5</v>
      </c>
      <c r="E33" s="302">
        <v>3</v>
      </c>
      <c r="F33" s="303">
        <f t="shared" si="13"/>
        <v>0.5</v>
      </c>
      <c r="G33" s="302">
        <v>3</v>
      </c>
      <c r="H33" s="303">
        <f t="shared" si="14"/>
        <v>0.5</v>
      </c>
      <c r="I33" s="334">
        <f t="shared" si="15"/>
        <v>9</v>
      </c>
      <c r="J33" s="312">
        <f t="shared" si="16"/>
        <v>0.5</v>
      </c>
      <c r="K33" s="302">
        <v>3</v>
      </c>
      <c r="L33" s="303">
        <f t="shared" si="17"/>
        <v>0.5</v>
      </c>
      <c r="M33" s="302">
        <v>3</v>
      </c>
      <c r="N33" s="303">
        <f t="shared" si="18"/>
        <v>0.5</v>
      </c>
      <c r="O33" s="302">
        <v>3</v>
      </c>
      <c r="P33" s="303">
        <f t="shared" si="19"/>
        <v>0.5</v>
      </c>
      <c r="Q33" s="334">
        <f t="shared" si="20"/>
        <v>9</v>
      </c>
      <c r="R33" s="312">
        <f t="shared" si="21"/>
        <v>0.5</v>
      </c>
    </row>
    <row r="34" spans="1:18" ht="15.75" hidden="1" thickBot="1" x14ac:dyDescent="0.3">
      <c r="A34" s="50" t="s">
        <v>2</v>
      </c>
      <c r="B34" s="52">
        <f>SUM(B23:B33)</f>
        <v>61</v>
      </c>
      <c r="C34" s="54">
        <f>SUM(C23:C33)</f>
        <v>60</v>
      </c>
      <c r="D34" s="59">
        <f t="shared" si="12"/>
        <v>-1.6393442622950838E-2</v>
      </c>
      <c r="E34" s="54">
        <f>SUM(E23:E33)</f>
        <v>60</v>
      </c>
      <c r="F34" s="59">
        <f t="shared" si="13"/>
        <v>-1.6393442622950838E-2</v>
      </c>
      <c r="G34" s="54">
        <f>SUM(G23:G33)</f>
        <v>59</v>
      </c>
      <c r="H34" s="59">
        <f t="shared" si="14"/>
        <v>-3.2786885245901676E-2</v>
      </c>
      <c r="I34" s="53">
        <f t="shared" ref="I34" si="22">C34+E34+G34</f>
        <v>179</v>
      </c>
      <c r="J34" s="300">
        <f t="shared" ref="J34" si="23">((I34/(3*$B34)))-1</f>
        <v>-2.1857923497267784E-2</v>
      </c>
      <c r="K34" s="54">
        <f>SUM(K23:K33)</f>
        <v>61</v>
      </c>
      <c r="L34" s="59">
        <f t="shared" si="17"/>
        <v>0</v>
      </c>
      <c r="M34" s="54">
        <v>63</v>
      </c>
      <c r="N34" s="59">
        <f t="shared" si="18"/>
        <v>3.2786885245901676E-2</v>
      </c>
      <c r="O34" s="54">
        <f>SUM(O23:O33)</f>
        <v>61</v>
      </c>
      <c r="P34" s="59">
        <f t="shared" si="19"/>
        <v>0</v>
      </c>
      <c r="Q34" s="53">
        <f t="shared" ref="Q34" si="24">K34+M34+O34</f>
        <v>185</v>
      </c>
      <c r="R34" s="300">
        <f t="shared" ref="R34" si="25">((Q34/(3*$B34)))-1</f>
        <v>1.0928961748633892E-2</v>
      </c>
    </row>
    <row r="35" spans="1:18" hidden="1" x14ac:dyDescent="0.25"/>
    <row r="36" spans="1:18" hidden="1" x14ac:dyDescent="0.25"/>
    <row r="37" spans="1:18" ht="15.75" hidden="1" x14ac:dyDescent="0.25">
      <c r="A37" s="801" t="s">
        <v>363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</row>
    <row r="38" spans="1:18" ht="24.75" hidden="1" thickBot="1" x14ac:dyDescent="0.3">
      <c r="A38" s="93" t="s">
        <v>8</v>
      </c>
      <c r="B38" s="94" t="s">
        <v>9</v>
      </c>
      <c r="C38" s="122" t="str">
        <f t="shared" ref="C38:R38" si="26">C22</f>
        <v>JAN</v>
      </c>
      <c r="D38" s="123" t="str">
        <f t="shared" si="26"/>
        <v>%</v>
      </c>
      <c r="E38" s="122" t="str">
        <f t="shared" si="26"/>
        <v>FEV</v>
      </c>
      <c r="F38" s="123" t="str">
        <f t="shared" si="26"/>
        <v>%</v>
      </c>
      <c r="G38" s="122" t="str">
        <f t="shared" si="26"/>
        <v>MAR</v>
      </c>
      <c r="H38" s="123" t="str">
        <f t="shared" si="26"/>
        <v>%</v>
      </c>
      <c r="I38" s="124" t="str">
        <f t="shared" si="26"/>
        <v>Trimestre</v>
      </c>
      <c r="J38" s="124" t="str">
        <f t="shared" si="26"/>
        <v>%</v>
      </c>
      <c r="K38" s="122" t="str">
        <f t="shared" si="26"/>
        <v>ABR</v>
      </c>
      <c r="L38" s="123" t="str">
        <f t="shared" si="26"/>
        <v>%</v>
      </c>
      <c r="M38" s="122" t="str">
        <f t="shared" si="26"/>
        <v>MAI</v>
      </c>
      <c r="N38" s="123" t="str">
        <f t="shared" si="26"/>
        <v>%</v>
      </c>
      <c r="O38" s="122" t="str">
        <f t="shared" si="26"/>
        <v>JUN</v>
      </c>
      <c r="P38" s="123" t="str">
        <f t="shared" si="26"/>
        <v>%</v>
      </c>
      <c r="Q38" s="124" t="str">
        <f t="shared" si="26"/>
        <v>Trimestre</v>
      </c>
      <c r="R38" s="124" t="str">
        <f t="shared" si="26"/>
        <v>%</v>
      </c>
    </row>
    <row r="39" spans="1:18" ht="15.75" hidden="1" thickTop="1" x14ac:dyDescent="0.25">
      <c r="A39" s="310" t="s">
        <v>172</v>
      </c>
      <c r="B39" s="315">
        <v>13</v>
      </c>
      <c r="C39" s="311">
        <v>15</v>
      </c>
      <c r="D39" s="314">
        <f>((C39/$B39))-1</f>
        <v>0.15384615384615374</v>
      </c>
      <c r="E39" s="311">
        <v>11</v>
      </c>
      <c r="F39" s="314">
        <f t="shared" ref="F39:F41" si="27">((E39/$B39))-1</f>
        <v>-0.15384615384615385</v>
      </c>
      <c r="G39" s="715">
        <v>11.5</v>
      </c>
      <c r="H39" s="314">
        <f t="shared" ref="H39:H41" si="28">((G39/$B39))-1</f>
        <v>-0.11538461538461542</v>
      </c>
      <c r="I39" s="313">
        <f t="shared" ref="I39:I41" si="29">C39+E39+G39</f>
        <v>37.5</v>
      </c>
      <c r="J39" s="318">
        <f t="shared" ref="J39:J41" si="30">((I39/(3*$B39)))-1</f>
        <v>-3.8461538461538436E-2</v>
      </c>
      <c r="K39" s="715">
        <v>11.5</v>
      </c>
      <c r="L39" s="314">
        <f t="shared" ref="L39:L41" si="31">((K39/$B39))-1</f>
        <v>-0.11538461538461542</v>
      </c>
      <c r="M39" s="720">
        <v>11.5</v>
      </c>
      <c r="N39" s="314">
        <f t="shared" ref="N39:N41" si="32">((M39/$B39))-1</f>
        <v>-0.11538461538461542</v>
      </c>
      <c r="O39" s="721">
        <v>11.5</v>
      </c>
      <c r="P39" s="314">
        <f t="shared" ref="P39:P41" si="33">((O39/$B39))-1</f>
        <v>-0.11538461538461542</v>
      </c>
      <c r="Q39" s="313">
        <f t="shared" ref="Q39:Q41" si="34">K39+M39+O39</f>
        <v>34.5</v>
      </c>
      <c r="R39" s="318">
        <f t="shared" ref="R39:R41" si="35">((Q39/(3*$B39)))-1</f>
        <v>-0.11538461538461542</v>
      </c>
    </row>
    <row r="40" spans="1:18" ht="15.75" hidden="1" thickBot="1" x14ac:dyDescent="0.3">
      <c r="A40" s="323" t="s">
        <v>162</v>
      </c>
      <c r="B40" s="397">
        <v>12</v>
      </c>
      <c r="C40" s="329">
        <v>8</v>
      </c>
      <c r="D40" s="330">
        <f t="shared" ref="D40:D41" si="36">((C40/$B40))-1</f>
        <v>-0.33333333333333337</v>
      </c>
      <c r="E40" s="329">
        <v>9</v>
      </c>
      <c r="F40" s="330">
        <f t="shared" si="27"/>
        <v>-0.25</v>
      </c>
      <c r="G40" s="329">
        <v>8</v>
      </c>
      <c r="H40" s="330">
        <f t="shared" si="28"/>
        <v>-0.33333333333333337</v>
      </c>
      <c r="I40" s="331">
        <f t="shared" si="29"/>
        <v>25</v>
      </c>
      <c r="J40" s="332">
        <f t="shared" si="30"/>
        <v>-0.30555555555555558</v>
      </c>
      <c r="K40" s="329">
        <v>11</v>
      </c>
      <c r="L40" s="330">
        <f t="shared" si="31"/>
        <v>-8.333333333333337E-2</v>
      </c>
      <c r="M40" s="329">
        <v>12</v>
      </c>
      <c r="N40" s="330">
        <f t="shared" si="32"/>
        <v>0</v>
      </c>
      <c r="O40" s="329">
        <v>12</v>
      </c>
      <c r="P40" s="330">
        <f t="shared" si="33"/>
        <v>0</v>
      </c>
      <c r="Q40" s="331">
        <f t="shared" si="34"/>
        <v>35</v>
      </c>
      <c r="R40" s="332">
        <f t="shared" si="35"/>
        <v>-2.777777777777779E-2</v>
      </c>
    </row>
    <row r="41" spans="1:18" ht="15.75" hidden="1" thickBot="1" x14ac:dyDescent="0.3">
      <c r="A41" s="50" t="s">
        <v>2</v>
      </c>
      <c r="B41" s="52">
        <f>SUM(B39:B40)</f>
        <v>25</v>
      </c>
      <c r="C41" s="54">
        <f>SUM(C39:C40)</f>
        <v>23</v>
      </c>
      <c r="D41" s="59">
        <f t="shared" si="36"/>
        <v>-7.999999999999996E-2</v>
      </c>
      <c r="E41" s="54">
        <f>SUM(E39:E40)</f>
        <v>20</v>
      </c>
      <c r="F41" s="59">
        <f t="shared" si="27"/>
        <v>-0.19999999999999996</v>
      </c>
      <c r="G41" s="54">
        <f>SUM(G39:G40)</f>
        <v>19.5</v>
      </c>
      <c r="H41" s="59">
        <f t="shared" si="28"/>
        <v>-0.21999999999999997</v>
      </c>
      <c r="I41" s="53">
        <f t="shared" si="29"/>
        <v>62.5</v>
      </c>
      <c r="J41" s="60">
        <f t="shared" si="30"/>
        <v>-0.16666666666666663</v>
      </c>
      <c r="K41" s="54">
        <f>SUM(K39:K40)</f>
        <v>22.5</v>
      </c>
      <c r="L41" s="59">
        <f t="shared" si="31"/>
        <v>-9.9999999999999978E-2</v>
      </c>
      <c r="M41" s="54">
        <f>SUM(M39:M40)</f>
        <v>23.5</v>
      </c>
      <c r="N41" s="59">
        <f t="shared" si="32"/>
        <v>-6.0000000000000053E-2</v>
      </c>
      <c r="O41" s="54">
        <f>SUM(O39:O40)</f>
        <v>23.5</v>
      </c>
      <c r="P41" s="59">
        <f t="shared" si="33"/>
        <v>-6.0000000000000053E-2</v>
      </c>
      <c r="Q41" s="53">
        <f t="shared" si="34"/>
        <v>69.5</v>
      </c>
      <c r="R41" s="398">
        <f t="shared" si="35"/>
        <v>-7.3333333333333361E-2</v>
      </c>
    </row>
  </sheetData>
  <mergeCells count="5">
    <mergeCell ref="A21:R21"/>
    <mergeCell ref="A5:R5"/>
    <mergeCell ref="A2:R2"/>
    <mergeCell ref="A3:R3"/>
    <mergeCell ref="A37:R37"/>
  </mergeCells>
  <pageMargins left="0.23622047244094491" right="0.23622047244094491" top="0.47244094488188981" bottom="0.74803149606299213" header="0.31496062992125984" footer="0.31496062992125984"/>
  <pageSetup paperSize="9" scale="71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7674-D669-4968-A6FF-B405CD6CD5A1}">
  <sheetPr>
    <tabColor rgb="FFC00000"/>
    <pageSetUpPr fitToPage="1"/>
  </sheetPr>
  <dimension ref="A2:R4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29.28515625" customWidth="1"/>
    <col min="2" max="3" width="9" bestFit="1" customWidth="1"/>
    <col min="4" max="4" width="10.140625" bestFit="1" customWidth="1"/>
    <col min="5" max="5" width="9" bestFit="1" customWidth="1"/>
    <col min="6" max="6" width="8.7109375" customWidth="1"/>
    <col min="7" max="7" width="9" bestFit="1" customWidth="1"/>
    <col min="8" max="8" width="10.140625" bestFit="1" customWidth="1"/>
    <col min="9" max="9" width="10.7109375" customWidth="1"/>
    <col min="10" max="10" width="10.140625" bestFit="1" customWidth="1"/>
    <col min="11" max="11" width="9" bestFit="1" customWidth="1"/>
    <col min="12" max="12" width="10.140625" bestFit="1" customWidth="1"/>
    <col min="13" max="13" width="9" bestFit="1" customWidth="1"/>
    <col min="14" max="14" width="10.140625" bestFit="1" customWidth="1"/>
    <col min="15" max="15" width="9" bestFit="1" customWidth="1"/>
    <col min="16" max="17" width="11.140625" bestFit="1" customWidth="1"/>
    <col min="18" max="18" width="10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361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158</v>
      </c>
      <c r="B7" s="738">
        <v>7200</v>
      </c>
      <c r="C7" s="736">
        <v>9732</v>
      </c>
      <c r="D7" s="782">
        <f t="shared" ref="D7:D18" si="0">((C7/$B7))-1</f>
        <v>0.35166666666666657</v>
      </c>
      <c r="E7" s="736">
        <v>5929</v>
      </c>
      <c r="F7" s="782">
        <f t="shared" ref="F7:F18" si="1">((E7/$B7))-1</f>
        <v>-0.17652777777777773</v>
      </c>
      <c r="G7" s="736">
        <v>5680</v>
      </c>
      <c r="H7" s="782">
        <f t="shared" ref="H7:H18" si="2">((G7/$B7))-1</f>
        <v>-0.21111111111111114</v>
      </c>
      <c r="I7" s="210">
        <f t="shared" ref="I7:I18" si="3">C7+E7+G7</f>
        <v>21341</v>
      </c>
      <c r="J7" s="211">
        <f t="shared" ref="J7:J18" si="4">((I7/(3*$B7)))-1</f>
        <v>-1.1990740740740691E-2</v>
      </c>
      <c r="K7" s="736">
        <v>6271</v>
      </c>
      <c r="L7" s="782">
        <f t="shared" ref="L7:L18" si="5">((K7/$B7))-1</f>
        <v>-0.12902777777777774</v>
      </c>
      <c r="M7" s="736">
        <v>7189</v>
      </c>
      <c r="N7" s="782">
        <f t="shared" ref="N7:N18" si="6">((M7/$B7))-1</f>
        <v>-1.5277777777777946E-3</v>
      </c>
      <c r="O7" s="736">
        <v>5482</v>
      </c>
      <c r="P7" s="782">
        <f t="shared" ref="P7:P18" si="7">((O7/$B7))-1</f>
        <v>-0.23861111111111111</v>
      </c>
      <c r="Q7" s="210">
        <f t="shared" ref="Q7:Q18" si="8">K7+M7+O7</f>
        <v>18942</v>
      </c>
      <c r="R7" s="211">
        <f t="shared" ref="R7:R18" si="9">((Q7/(3*$B7)))-1</f>
        <v>-0.12305555555555558</v>
      </c>
    </row>
    <row r="8" spans="1:18" x14ac:dyDescent="0.25">
      <c r="A8" s="384" t="s">
        <v>159</v>
      </c>
      <c r="B8" s="752">
        <v>2496</v>
      </c>
      <c r="C8" s="456">
        <v>2462</v>
      </c>
      <c r="D8" s="781">
        <f t="shared" si="0"/>
        <v>-1.3621794871794823E-2</v>
      </c>
      <c r="E8" s="456">
        <v>2164</v>
      </c>
      <c r="F8" s="781">
        <f t="shared" si="1"/>
        <v>-0.13301282051282048</v>
      </c>
      <c r="G8" s="456">
        <v>1883</v>
      </c>
      <c r="H8" s="781">
        <f t="shared" si="2"/>
        <v>-0.24559294871794868</v>
      </c>
      <c r="I8" s="729">
        <f t="shared" si="3"/>
        <v>6509</v>
      </c>
      <c r="J8" s="730">
        <f t="shared" si="4"/>
        <v>-0.1307425213675214</v>
      </c>
      <c r="K8" s="456">
        <v>2075</v>
      </c>
      <c r="L8" s="781">
        <f t="shared" si="5"/>
        <v>-0.16866987179487181</v>
      </c>
      <c r="M8" s="456">
        <v>1807</v>
      </c>
      <c r="N8" s="781">
        <f t="shared" si="6"/>
        <v>-0.27604166666666663</v>
      </c>
      <c r="O8" s="456">
        <v>1652</v>
      </c>
      <c r="P8" s="781">
        <f t="shared" si="7"/>
        <v>-0.33814102564102566</v>
      </c>
      <c r="Q8" s="729">
        <f t="shared" si="8"/>
        <v>5534</v>
      </c>
      <c r="R8" s="730">
        <f t="shared" si="9"/>
        <v>-0.26095085470085466</v>
      </c>
    </row>
    <row r="9" spans="1:18" x14ac:dyDescent="0.25">
      <c r="A9" s="310" t="s">
        <v>171</v>
      </c>
      <c r="B9" s="315">
        <v>936</v>
      </c>
      <c r="C9" s="311">
        <v>735</v>
      </c>
      <c r="D9" s="314">
        <f t="shared" si="0"/>
        <v>-0.21474358974358976</v>
      </c>
      <c r="E9" s="311">
        <v>1033</v>
      </c>
      <c r="F9" s="314">
        <f t="shared" si="1"/>
        <v>0.10363247863247871</v>
      </c>
      <c r="G9" s="311">
        <v>1123</v>
      </c>
      <c r="H9" s="314">
        <f t="shared" si="2"/>
        <v>0.19978632478632474</v>
      </c>
      <c r="I9" s="313">
        <f t="shared" si="3"/>
        <v>2891</v>
      </c>
      <c r="J9" s="318">
        <f t="shared" si="4"/>
        <v>2.9558404558404527E-2</v>
      </c>
      <c r="K9" s="311">
        <v>847</v>
      </c>
      <c r="L9" s="314">
        <f t="shared" si="5"/>
        <v>-9.5085470085470081E-2</v>
      </c>
      <c r="M9" s="311">
        <v>895</v>
      </c>
      <c r="N9" s="314">
        <f t="shared" si="6"/>
        <v>-4.3803418803418759E-2</v>
      </c>
      <c r="O9" s="311">
        <v>850</v>
      </c>
      <c r="P9" s="314">
        <f t="shared" si="7"/>
        <v>-9.1880341880341887E-2</v>
      </c>
      <c r="Q9" s="313">
        <f t="shared" si="8"/>
        <v>2592</v>
      </c>
      <c r="R9" s="318">
        <f t="shared" si="9"/>
        <v>-7.6923076923076872E-2</v>
      </c>
    </row>
    <row r="10" spans="1:18" ht="24" x14ac:dyDescent="0.25">
      <c r="A10" s="464" t="s">
        <v>190</v>
      </c>
      <c r="B10" s="315">
        <v>192</v>
      </c>
      <c r="C10" s="311">
        <v>337</v>
      </c>
      <c r="D10" s="314">
        <f t="shared" si="0"/>
        <v>0.75520833333333326</v>
      </c>
      <c r="E10" s="311">
        <v>307</v>
      </c>
      <c r="F10" s="314">
        <f t="shared" si="1"/>
        <v>0.59895833333333326</v>
      </c>
      <c r="G10" s="311">
        <v>207</v>
      </c>
      <c r="H10" s="314">
        <f t="shared" si="2"/>
        <v>7.8125E-2</v>
      </c>
      <c r="I10" s="313">
        <f t="shared" si="3"/>
        <v>851</v>
      </c>
      <c r="J10" s="318">
        <f t="shared" si="4"/>
        <v>0.47743055555555558</v>
      </c>
      <c r="K10" s="311">
        <v>211</v>
      </c>
      <c r="L10" s="314">
        <f t="shared" si="5"/>
        <v>9.8958333333333259E-2</v>
      </c>
      <c r="M10" s="311">
        <v>217</v>
      </c>
      <c r="N10" s="314">
        <f t="shared" si="6"/>
        <v>0.13020833333333326</v>
      </c>
      <c r="O10" s="311">
        <v>238</v>
      </c>
      <c r="P10" s="314">
        <f t="shared" si="7"/>
        <v>0.23958333333333326</v>
      </c>
      <c r="Q10" s="313">
        <f t="shared" si="8"/>
        <v>666</v>
      </c>
      <c r="R10" s="318">
        <f t="shared" si="9"/>
        <v>0.15625</v>
      </c>
    </row>
    <row r="11" spans="1:18" ht="24" x14ac:dyDescent="0.25">
      <c r="A11" s="464" t="s">
        <v>202</v>
      </c>
      <c r="B11" s="315">
        <v>672</v>
      </c>
      <c r="C11" s="311">
        <v>781</v>
      </c>
      <c r="D11" s="314">
        <f t="shared" si="0"/>
        <v>0.16220238095238093</v>
      </c>
      <c r="E11" s="311">
        <v>613</v>
      </c>
      <c r="F11" s="314">
        <f t="shared" si="1"/>
        <v>-8.7797619047619069E-2</v>
      </c>
      <c r="G11" s="311">
        <v>779</v>
      </c>
      <c r="H11" s="314">
        <f t="shared" si="2"/>
        <v>0.15922619047619047</v>
      </c>
      <c r="I11" s="313">
        <f t="shared" si="3"/>
        <v>2173</v>
      </c>
      <c r="J11" s="318">
        <f t="shared" si="4"/>
        <v>7.7876984126984183E-2</v>
      </c>
      <c r="K11" s="311">
        <v>394</v>
      </c>
      <c r="L11" s="314">
        <f t="shared" si="5"/>
        <v>-0.41369047619047616</v>
      </c>
      <c r="M11" s="311">
        <v>923</v>
      </c>
      <c r="N11" s="314">
        <f t="shared" si="6"/>
        <v>0.37351190476190466</v>
      </c>
      <c r="O11" s="311">
        <v>1206</v>
      </c>
      <c r="P11" s="314">
        <f t="shared" si="7"/>
        <v>0.79464285714285721</v>
      </c>
      <c r="Q11" s="313">
        <f t="shared" si="8"/>
        <v>2523</v>
      </c>
      <c r="R11" s="318">
        <f t="shared" si="9"/>
        <v>0.25148809523809534</v>
      </c>
    </row>
    <row r="12" spans="1:18" ht="24" x14ac:dyDescent="0.25">
      <c r="A12" s="464" t="s">
        <v>3</v>
      </c>
      <c r="B12" s="315">
        <v>192</v>
      </c>
      <c r="C12" s="311">
        <v>244</v>
      </c>
      <c r="D12" s="314">
        <f t="shared" si="0"/>
        <v>0.27083333333333326</v>
      </c>
      <c r="E12" s="311">
        <v>259</v>
      </c>
      <c r="F12" s="314">
        <f t="shared" si="1"/>
        <v>0.34895833333333326</v>
      </c>
      <c r="G12" s="311">
        <v>257</v>
      </c>
      <c r="H12" s="314">
        <f t="shared" si="2"/>
        <v>0.33854166666666674</v>
      </c>
      <c r="I12" s="313">
        <f t="shared" si="3"/>
        <v>760</v>
      </c>
      <c r="J12" s="318">
        <f t="shared" si="4"/>
        <v>0.31944444444444442</v>
      </c>
      <c r="K12" s="311">
        <v>333</v>
      </c>
      <c r="L12" s="314">
        <f t="shared" si="5"/>
        <v>0.734375</v>
      </c>
      <c r="M12" s="311">
        <v>299</v>
      </c>
      <c r="N12" s="314">
        <f t="shared" si="6"/>
        <v>0.55729166666666674</v>
      </c>
      <c r="O12" s="311">
        <v>211</v>
      </c>
      <c r="P12" s="314">
        <f t="shared" si="7"/>
        <v>9.8958333333333259E-2</v>
      </c>
      <c r="Q12" s="313">
        <f t="shared" si="8"/>
        <v>843</v>
      </c>
      <c r="R12" s="318">
        <f t="shared" si="9"/>
        <v>0.46354166666666674</v>
      </c>
    </row>
    <row r="13" spans="1:18" x14ac:dyDescent="0.25">
      <c r="A13" s="310" t="s">
        <v>176</v>
      </c>
      <c r="B13" s="315">
        <v>672</v>
      </c>
      <c r="C13" s="311">
        <v>629</v>
      </c>
      <c r="D13" s="314">
        <f t="shared" si="0"/>
        <v>-6.3988095238095233E-2</v>
      </c>
      <c r="E13" s="311">
        <v>644</v>
      </c>
      <c r="F13" s="314">
        <f t="shared" si="1"/>
        <v>-4.166666666666663E-2</v>
      </c>
      <c r="G13" s="311">
        <v>498</v>
      </c>
      <c r="H13" s="314">
        <f t="shared" si="2"/>
        <v>-0.2589285714285714</v>
      </c>
      <c r="I13" s="313">
        <f t="shared" si="3"/>
        <v>1771</v>
      </c>
      <c r="J13" s="318">
        <f t="shared" si="4"/>
        <v>-0.12152777777777779</v>
      </c>
      <c r="K13" s="311">
        <v>923</v>
      </c>
      <c r="L13" s="314">
        <f t="shared" si="5"/>
        <v>0.37351190476190466</v>
      </c>
      <c r="M13" s="311">
        <v>1098</v>
      </c>
      <c r="N13" s="314">
        <f t="shared" si="6"/>
        <v>0.6339285714285714</v>
      </c>
      <c r="O13" s="311">
        <v>617</v>
      </c>
      <c r="P13" s="314">
        <f t="shared" si="7"/>
        <v>-8.1845238095238138E-2</v>
      </c>
      <c r="Q13" s="313">
        <f t="shared" si="8"/>
        <v>2638</v>
      </c>
      <c r="R13" s="318">
        <f t="shared" si="9"/>
        <v>0.30853174603174605</v>
      </c>
    </row>
    <row r="14" spans="1:18" ht="15" customHeight="1" x14ac:dyDescent="0.25">
      <c r="A14" s="310" t="s">
        <v>172</v>
      </c>
      <c r="B14" s="315">
        <v>526</v>
      </c>
      <c r="C14" s="311">
        <v>104</v>
      </c>
      <c r="D14" s="314">
        <f t="shared" si="0"/>
        <v>-0.80228136882129275</v>
      </c>
      <c r="E14" s="311">
        <v>167</v>
      </c>
      <c r="F14" s="314">
        <f t="shared" si="1"/>
        <v>-0.68250950570342206</v>
      </c>
      <c r="G14" s="311">
        <v>218</v>
      </c>
      <c r="H14" s="314">
        <f t="shared" si="2"/>
        <v>-0.5855513307984791</v>
      </c>
      <c r="I14" s="313">
        <f t="shared" si="3"/>
        <v>489</v>
      </c>
      <c r="J14" s="318">
        <f t="shared" si="4"/>
        <v>-0.69011406844106471</v>
      </c>
      <c r="K14" s="311">
        <v>232</v>
      </c>
      <c r="L14" s="314">
        <f t="shared" si="5"/>
        <v>-0.55893536121673004</v>
      </c>
      <c r="M14" s="311">
        <v>251</v>
      </c>
      <c r="N14" s="314">
        <f t="shared" si="6"/>
        <v>-0.52281368821292773</v>
      </c>
      <c r="O14" s="311">
        <v>247</v>
      </c>
      <c r="P14" s="314">
        <f t="shared" si="7"/>
        <v>-0.53041825095057038</v>
      </c>
      <c r="Q14" s="313">
        <f t="shared" si="8"/>
        <v>730</v>
      </c>
      <c r="R14" s="318">
        <f t="shared" si="9"/>
        <v>-0.53738910012674279</v>
      </c>
    </row>
    <row r="15" spans="1:18" ht="15" customHeight="1" x14ac:dyDescent="0.25">
      <c r="A15" s="310" t="s">
        <v>162</v>
      </c>
      <c r="B15" s="315">
        <v>263</v>
      </c>
      <c r="C15" s="311">
        <v>215</v>
      </c>
      <c r="D15" s="314">
        <f t="shared" si="0"/>
        <v>-0.18250950570342206</v>
      </c>
      <c r="E15" s="311">
        <v>217</v>
      </c>
      <c r="F15" s="314">
        <f t="shared" si="1"/>
        <v>-0.17490494296577952</v>
      </c>
      <c r="G15" s="311">
        <v>194</v>
      </c>
      <c r="H15" s="314">
        <f t="shared" si="2"/>
        <v>-0.26235741444866922</v>
      </c>
      <c r="I15" s="313">
        <f t="shared" si="3"/>
        <v>626</v>
      </c>
      <c r="J15" s="318">
        <f t="shared" si="4"/>
        <v>-0.20659062103929027</v>
      </c>
      <c r="K15" s="311">
        <v>242</v>
      </c>
      <c r="L15" s="314">
        <f t="shared" si="5"/>
        <v>-7.9847908745247165E-2</v>
      </c>
      <c r="M15" s="311">
        <v>163</v>
      </c>
      <c r="N15" s="314">
        <f t="shared" si="6"/>
        <v>-0.38022813688212931</v>
      </c>
      <c r="O15" s="311">
        <v>160</v>
      </c>
      <c r="P15" s="314">
        <f t="shared" si="7"/>
        <v>-0.39163498098859317</v>
      </c>
      <c r="Q15" s="313">
        <f t="shared" si="8"/>
        <v>565</v>
      </c>
      <c r="R15" s="318">
        <f t="shared" si="9"/>
        <v>-0.28390367553865647</v>
      </c>
    </row>
    <row r="16" spans="1:18" ht="15" customHeight="1" x14ac:dyDescent="0.25">
      <c r="A16" s="310" t="s">
        <v>163</v>
      </c>
      <c r="B16" s="315">
        <v>263</v>
      </c>
      <c r="C16" s="311">
        <v>207</v>
      </c>
      <c r="D16" s="314">
        <f t="shared" si="0"/>
        <v>-0.21292775665399244</v>
      </c>
      <c r="E16" s="311">
        <v>233</v>
      </c>
      <c r="F16" s="314">
        <f t="shared" si="1"/>
        <v>-0.11406844106463876</v>
      </c>
      <c r="G16" s="311">
        <v>166</v>
      </c>
      <c r="H16" s="314">
        <f t="shared" si="2"/>
        <v>-0.36882129277566544</v>
      </c>
      <c r="I16" s="313">
        <f t="shared" si="3"/>
        <v>606</v>
      </c>
      <c r="J16" s="318">
        <f t="shared" si="4"/>
        <v>-0.23193916349809884</v>
      </c>
      <c r="K16" s="311">
        <v>218</v>
      </c>
      <c r="L16" s="314">
        <f t="shared" si="5"/>
        <v>-0.17110266159695819</v>
      </c>
      <c r="M16" s="311">
        <v>151</v>
      </c>
      <c r="N16" s="314">
        <f t="shared" si="6"/>
        <v>-0.42585551330798477</v>
      </c>
      <c r="O16" s="311">
        <v>166</v>
      </c>
      <c r="P16" s="314">
        <f t="shared" si="7"/>
        <v>-0.36882129277566544</v>
      </c>
      <c r="Q16" s="313">
        <f t="shared" si="8"/>
        <v>535</v>
      </c>
      <c r="R16" s="318">
        <f t="shared" si="9"/>
        <v>-0.32192648922686951</v>
      </c>
    </row>
    <row r="17" spans="1:18" ht="15.75" customHeight="1" thickBot="1" x14ac:dyDescent="0.3">
      <c r="A17" s="386" t="s">
        <v>173</v>
      </c>
      <c r="B17" s="387">
        <v>166</v>
      </c>
      <c r="C17" s="388">
        <v>178</v>
      </c>
      <c r="D17" s="389">
        <f t="shared" si="0"/>
        <v>7.2289156626506035E-2</v>
      </c>
      <c r="E17" s="388">
        <v>199</v>
      </c>
      <c r="F17" s="389">
        <f t="shared" si="1"/>
        <v>0.1987951807228916</v>
      </c>
      <c r="G17" s="388">
        <v>174</v>
      </c>
      <c r="H17" s="389">
        <f t="shared" si="2"/>
        <v>4.8192771084337283E-2</v>
      </c>
      <c r="I17" s="313">
        <f t="shared" si="3"/>
        <v>551</v>
      </c>
      <c r="J17" s="318">
        <f t="shared" si="4"/>
        <v>0.10642570281124497</v>
      </c>
      <c r="K17" s="388">
        <v>114</v>
      </c>
      <c r="L17" s="389">
        <f t="shared" si="5"/>
        <v>-0.31325301204819278</v>
      </c>
      <c r="M17" s="388">
        <v>53</v>
      </c>
      <c r="N17" s="389">
        <f t="shared" si="6"/>
        <v>-0.68072289156626509</v>
      </c>
      <c r="O17" s="388">
        <v>0</v>
      </c>
      <c r="P17" s="390">
        <f t="shared" si="7"/>
        <v>-1</v>
      </c>
      <c r="Q17" s="334">
        <f t="shared" si="8"/>
        <v>167</v>
      </c>
      <c r="R17" s="312">
        <f t="shared" si="9"/>
        <v>-0.66465863453815266</v>
      </c>
    </row>
    <row r="18" spans="1:18" ht="15.75" customHeight="1" thickBot="1" x14ac:dyDescent="0.3">
      <c r="A18" s="50" t="s">
        <v>2</v>
      </c>
      <c r="B18" s="52">
        <f>SUM(B7:B17)</f>
        <v>13578</v>
      </c>
      <c r="C18" s="54">
        <f>SUM(C7:C17)</f>
        <v>15624</v>
      </c>
      <c r="D18" s="59">
        <f t="shared" si="0"/>
        <v>0.15068493150684925</v>
      </c>
      <c r="E18" s="54">
        <f>SUM(E7:E17)</f>
        <v>11765</v>
      </c>
      <c r="F18" s="59">
        <f t="shared" si="1"/>
        <v>-0.13352481956105466</v>
      </c>
      <c r="G18" s="54">
        <f>SUM(G7:G17)</f>
        <v>11179</v>
      </c>
      <c r="H18" s="59">
        <f t="shared" si="2"/>
        <v>-0.1766828693474739</v>
      </c>
      <c r="I18" s="53">
        <f t="shared" si="3"/>
        <v>38568</v>
      </c>
      <c r="J18" s="300">
        <f t="shared" si="4"/>
        <v>-5.3174252467226402E-2</v>
      </c>
      <c r="K18" s="54">
        <f>SUM(K7:K17)</f>
        <v>11860</v>
      </c>
      <c r="L18" s="59">
        <f t="shared" si="5"/>
        <v>-0.12652820739431436</v>
      </c>
      <c r="M18" s="54">
        <f>SUM(M7:M17)</f>
        <v>13046</v>
      </c>
      <c r="N18" s="59">
        <f t="shared" si="6"/>
        <v>-3.9181028133745799E-2</v>
      </c>
      <c r="O18" s="54">
        <f>SUM(O7:O17)</f>
        <v>10829</v>
      </c>
      <c r="P18" s="59">
        <f t="shared" si="7"/>
        <v>-0.20245986154072759</v>
      </c>
      <c r="Q18" s="53">
        <f t="shared" si="8"/>
        <v>35735</v>
      </c>
      <c r="R18" s="300">
        <f t="shared" si="9"/>
        <v>-0.12272303235626258</v>
      </c>
    </row>
    <row r="19" spans="1:18" ht="15" hidden="1" customHeight="1" x14ac:dyDescent="0.25"/>
    <row r="20" spans="1:18" ht="15" hidden="1" customHeight="1" x14ac:dyDescent="0.25"/>
    <row r="21" spans="1:18" ht="15.75" hidden="1" customHeight="1" x14ac:dyDescent="0.25">
      <c r="A21" s="803" t="s">
        <v>362</v>
      </c>
      <c r="B21" s="802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</row>
    <row r="22" spans="1:18" ht="24.75" hidden="1" customHeight="1" thickBot="1" x14ac:dyDescent="0.3">
      <c r="A22" s="120" t="s">
        <v>8</v>
      </c>
      <c r="B22" s="121" t="s">
        <v>9</v>
      </c>
      <c r="C22" s="122" t="str">
        <f t="shared" ref="C22:R22" si="10">C6</f>
        <v>JUL</v>
      </c>
      <c r="D22" s="123" t="str">
        <f t="shared" si="10"/>
        <v>%</v>
      </c>
      <c r="E22" s="122" t="str">
        <f t="shared" si="10"/>
        <v>AGO</v>
      </c>
      <c r="F22" s="123" t="str">
        <f t="shared" si="10"/>
        <v>%</v>
      </c>
      <c r="G22" s="122" t="str">
        <f t="shared" si="10"/>
        <v>SET</v>
      </c>
      <c r="H22" s="123" t="str">
        <f t="shared" si="10"/>
        <v>%</v>
      </c>
      <c r="I22" s="124" t="str">
        <f t="shared" si="10"/>
        <v>Trimestre</v>
      </c>
      <c r="J22" s="124" t="str">
        <f t="shared" si="10"/>
        <v>%</v>
      </c>
      <c r="K22" s="122" t="str">
        <f t="shared" si="10"/>
        <v>OUT</v>
      </c>
      <c r="L22" s="123" t="str">
        <f t="shared" si="10"/>
        <v>%</v>
      </c>
      <c r="M22" s="122" t="str">
        <f t="shared" si="10"/>
        <v>NOV</v>
      </c>
      <c r="N22" s="123" t="str">
        <f t="shared" si="10"/>
        <v>%</v>
      </c>
      <c r="O22" s="122" t="str">
        <f t="shared" si="10"/>
        <v>DEZ</v>
      </c>
      <c r="P22" s="123" t="str">
        <f t="shared" si="10"/>
        <v>%</v>
      </c>
      <c r="Q22" s="124" t="str">
        <f t="shared" si="10"/>
        <v>Trimestre</v>
      </c>
      <c r="R22" s="124" t="str">
        <f t="shared" si="10"/>
        <v>%</v>
      </c>
    </row>
    <row r="23" spans="1:18" ht="15.75" hidden="1" customHeight="1" thickTop="1" x14ac:dyDescent="0.25">
      <c r="A23" s="117" t="s">
        <v>164</v>
      </c>
      <c r="B23" s="738">
        <v>36</v>
      </c>
      <c r="C23" s="736">
        <v>36</v>
      </c>
      <c r="D23" s="782">
        <f t="shared" ref="D23:D34" si="11">((C23/$B23))-1</f>
        <v>0</v>
      </c>
      <c r="E23" s="736">
        <v>36</v>
      </c>
      <c r="F23" s="782">
        <f t="shared" ref="F23:F34" si="12">((E23/$B23))-1</f>
        <v>0</v>
      </c>
      <c r="G23" s="736">
        <v>33</v>
      </c>
      <c r="H23" s="782">
        <f t="shared" ref="H23:H34" si="13">((G23/$B23))-1</f>
        <v>-8.333333333333337E-2</v>
      </c>
      <c r="I23" s="210">
        <f t="shared" ref="I23:I34" si="14">C23+E23+G23</f>
        <v>105</v>
      </c>
      <c r="J23" s="211">
        <f t="shared" ref="J23:J34" si="15">((I23/(3*$B23)))-1</f>
        <v>-2.777777777777779E-2</v>
      </c>
      <c r="K23" s="736">
        <v>35</v>
      </c>
      <c r="L23" s="782">
        <f t="shared" ref="L23:L34" si="16">((K23/$B23))-1</f>
        <v>-2.777777777777779E-2</v>
      </c>
      <c r="M23" s="736"/>
      <c r="N23" s="782">
        <f t="shared" ref="N23:N34" si="17">((M23/$B23))-1</f>
        <v>-1</v>
      </c>
      <c r="O23" s="736"/>
      <c r="P23" s="782">
        <f t="shared" ref="P23:P34" si="18">((O23/$B23))-1</f>
        <v>-1</v>
      </c>
      <c r="Q23" s="210">
        <f t="shared" ref="Q23:Q34" si="19">K23+M23+O23</f>
        <v>35</v>
      </c>
      <c r="R23" s="211">
        <f t="shared" ref="R23:R34" si="20">((Q23/(3*$B23)))-1</f>
        <v>-0.67592592592592593</v>
      </c>
    </row>
    <row r="24" spans="1:18" ht="15" hidden="1" customHeight="1" x14ac:dyDescent="0.25">
      <c r="A24" s="117" t="s">
        <v>165</v>
      </c>
      <c r="B24" s="738">
        <v>6</v>
      </c>
      <c r="C24" s="736">
        <v>6</v>
      </c>
      <c r="D24" s="782">
        <f t="shared" si="11"/>
        <v>0</v>
      </c>
      <c r="E24" s="736">
        <v>6</v>
      </c>
      <c r="F24" s="782">
        <f t="shared" si="12"/>
        <v>0</v>
      </c>
      <c r="G24" s="736">
        <v>6</v>
      </c>
      <c r="H24" s="782">
        <f t="shared" si="13"/>
        <v>0</v>
      </c>
      <c r="I24" s="210">
        <f t="shared" si="14"/>
        <v>18</v>
      </c>
      <c r="J24" s="211">
        <f t="shared" si="15"/>
        <v>0</v>
      </c>
      <c r="K24" s="736">
        <v>5</v>
      </c>
      <c r="L24" s="782">
        <f t="shared" si="16"/>
        <v>-0.16666666666666663</v>
      </c>
      <c r="M24" s="736"/>
      <c r="N24" s="782">
        <f t="shared" si="17"/>
        <v>-1</v>
      </c>
      <c r="O24" s="736"/>
      <c r="P24" s="782">
        <f t="shared" si="18"/>
        <v>-1</v>
      </c>
      <c r="Q24" s="210">
        <f t="shared" si="19"/>
        <v>5</v>
      </c>
      <c r="R24" s="211">
        <f t="shared" si="20"/>
        <v>-0.72222222222222221</v>
      </c>
    </row>
    <row r="25" spans="1:18" ht="15" hidden="1" customHeight="1" x14ac:dyDescent="0.25">
      <c r="A25" s="384" t="s">
        <v>174</v>
      </c>
      <c r="B25" s="752">
        <v>6</v>
      </c>
      <c r="C25" s="456">
        <v>6</v>
      </c>
      <c r="D25" s="781">
        <f t="shared" si="11"/>
        <v>0</v>
      </c>
      <c r="E25" s="456">
        <v>6</v>
      </c>
      <c r="F25" s="781">
        <f t="shared" si="12"/>
        <v>0</v>
      </c>
      <c r="G25" s="456">
        <v>6</v>
      </c>
      <c r="H25" s="781">
        <f t="shared" si="13"/>
        <v>0</v>
      </c>
      <c r="I25" s="729">
        <f t="shared" si="14"/>
        <v>18</v>
      </c>
      <c r="J25" s="730">
        <f t="shared" si="15"/>
        <v>0</v>
      </c>
      <c r="K25" s="456">
        <v>6</v>
      </c>
      <c r="L25" s="781">
        <f t="shared" si="16"/>
        <v>0</v>
      </c>
      <c r="M25" s="456"/>
      <c r="N25" s="781">
        <f t="shared" si="17"/>
        <v>-1</v>
      </c>
      <c r="O25" s="456"/>
      <c r="P25" s="781">
        <f t="shared" si="18"/>
        <v>-1</v>
      </c>
      <c r="Q25" s="729">
        <f t="shared" si="19"/>
        <v>6</v>
      </c>
      <c r="R25" s="730">
        <f t="shared" si="20"/>
        <v>-0.66666666666666674</v>
      </c>
    </row>
    <row r="26" spans="1:18" ht="15" hidden="1" customHeight="1" x14ac:dyDescent="0.25">
      <c r="A26" s="310" t="s">
        <v>194</v>
      </c>
      <c r="B26" s="315">
        <v>1</v>
      </c>
      <c r="C26" s="311">
        <v>1</v>
      </c>
      <c r="D26" s="314">
        <f t="shared" si="11"/>
        <v>0</v>
      </c>
      <c r="E26" s="311">
        <v>1</v>
      </c>
      <c r="F26" s="314">
        <f t="shared" si="12"/>
        <v>0</v>
      </c>
      <c r="G26" s="311">
        <v>1</v>
      </c>
      <c r="H26" s="314">
        <f t="shared" si="13"/>
        <v>0</v>
      </c>
      <c r="I26" s="313">
        <f t="shared" si="14"/>
        <v>3</v>
      </c>
      <c r="J26" s="318">
        <f t="shared" si="15"/>
        <v>0</v>
      </c>
      <c r="K26" s="311">
        <v>1</v>
      </c>
      <c r="L26" s="314">
        <f t="shared" si="16"/>
        <v>0</v>
      </c>
      <c r="M26" s="311"/>
      <c r="N26" s="314">
        <f t="shared" si="17"/>
        <v>-1</v>
      </c>
      <c r="O26" s="311"/>
      <c r="P26" s="314">
        <f t="shared" si="18"/>
        <v>-1</v>
      </c>
      <c r="Q26" s="313">
        <f t="shared" si="19"/>
        <v>1</v>
      </c>
      <c r="R26" s="318">
        <f t="shared" si="20"/>
        <v>-0.66666666666666674</v>
      </c>
    </row>
    <row r="27" spans="1:18" ht="15" hidden="1" customHeight="1" x14ac:dyDescent="0.25">
      <c r="A27" s="310" t="s">
        <v>195</v>
      </c>
      <c r="B27" s="315">
        <v>2</v>
      </c>
      <c r="C27" s="311">
        <v>2</v>
      </c>
      <c r="D27" s="314">
        <f t="shared" si="11"/>
        <v>0</v>
      </c>
      <c r="E27" s="311">
        <v>2</v>
      </c>
      <c r="F27" s="314">
        <f t="shared" si="12"/>
        <v>0</v>
      </c>
      <c r="G27" s="311">
        <v>2</v>
      </c>
      <c r="H27" s="314">
        <f t="shared" si="13"/>
        <v>0</v>
      </c>
      <c r="I27" s="313">
        <f t="shared" si="14"/>
        <v>6</v>
      </c>
      <c r="J27" s="318">
        <f t="shared" si="15"/>
        <v>0</v>
      </c>
      <c r="K27" s="311">
        <v>2</v>
      </c>
      <c r="L27" s="314">
        <f t="shared" si="16"/>
        <v>0</v>
      </c>
      <c r="M27" s="311"/>
      <c r="N27" s="314">
        <f t="shared" si="17"/>
        <v>-1</v>
      </c>
      <c r="O27" s="311"/>
      <c r="P27" s="314">
        <f t="shared" si="18"/>
        <v>-1</v>
      </c>
      <c r="Q27" s="313">
        <f t="shared" si="19"/>
        <v>2</v>
      </c>
      <c r="R27" s="318">
        <f t="shared" si="20"/>
        <v>-0.66666666666666674</v>
      </c>
    </row>
    <row r="28" spans="1:18" ht="15" hidden="1" customHeight="1" x14ac:dyDescent="0.25">
      <c r="A28" s="310" t="s">
        <v>167</v>
      </c>
      <c r="B28" s="315">
        <v>2</v>
      </c>
      <c r="C28" s="311">
        <v>1</v>
      </c>
      <c r="D28" s="314">
        <f t="shared" si="11"/>
        <v>-0.5</v>
      </c>
      <c r="E28" s="311">
        <v>1</v>
      </c>
      <c r="F28" s="314">
        <f t="shared" si="12"/>
        <v>-0.5</v>
      </c>
      <c r="G28" s="311">
        <v>1</v>
      </c>
      <c r="H28" s="314">
        <f t="shared" si="13"/>
        <v>-0.5</v>
      </c>
      <c r="I28" s="313">
        <f t="shared" si="14"/>
        <v>3</v>
      </c>
      <c r="J28" s="318">
        <f t="shared" si="15"/>
        <v>-0.5</v>
      </c>
      <c r="K28" s="311">
        <v>1</v>
      </c>
      <c r="L28" s="314">
        <f t="shared" si="16"/>
        <v>-0.5</v>
      </c>
      <c r="M28" s="311"/>
      <c r="N28" s="314">
        <f t="shared" si="17"/>
        <v>-1</v>
      </c>
      <c r="O28" s="311"/>
      <c r="P28" s="314">
        <f t="shared" si="18"/>
        <v>-1</v>
      </c>
      <c r="Q28" s="313">
        <f t="shared" si="19"/>
        <v>1</v>
      </c>
      <c r="R28" s="318">
        <f t="shared" si="20"/>
        <v>-0.83333333333333337</v>
      </c>
    </row>
    <row r="29" spans="1:18" ht="15" hidden="1" customHeight="1" x14ac:dyDescent="0.25">
      <c r="A29" s="310" t="s">
        <v>168</v>
      </c>
      <c r="B29" s="315">
        <v>1</v>
      </c>
      <c r="C29" s="311">
        <v>1</v>
      </c>
      <c r="D29" s="314">
        <f t="shared" si="11"/>
        <v>0</v>
      </c>
      <c r="E29" s="311">
        <v>1</v>
      </c>
      <c r="F29" s="314">
        <f t="shared" si="12"/>
        <v>0</v>
      </c>
      <c r="G29" s="311">
        <v>1</v>
      </c>
      <c r="H29" s="314">
        <f t="shared" si="13"/>
        <v>0</v>
      </c>
      <c r="I29" s="313">
        <f t="shared" si="14"/>
        <v>3</v>
      </c>
      <c r="J29" s="318">
        <f t="shared" si="15"/>
        <v>0</v>
      </c>
      <c r="K29" s="311">
        <v>1</v>
      </c>
      <c r="L29" s="314">
        <f t="shared" si="16"/>
        <v>0</v>
      </c>
      <c r="M29" s="311"/>
      <c r="N29" s="314">
        <f t="shared" si="17"/>
        <v>-1</v>
      </c>
      <c r="O29" s="311"/>
      <c r="P29" s="314">
        <f t="shared" si="18"/>
        <v>-1</v>
      </c>
      <c r="Q29" s="313">
        <f t="shared" si="19"/>
        <v>1</v>
      </c>
      <c r="R29" s="318">
        <f t="shared" si="20"/>
        <v>-0.66666666666666674</v>
      </c>
    </row>
    <row r="30" spans="1:18" ht="15" hidden="1" customHeight="1" x14ac:dyDescent="0.25">
      <c r="A30" s="310" t="s">
        <v>169</v>
      </c>
      <c r="B30" s="315">
        <v>1</v>
      </c>
      <c r="C30" s="311">
        <v>1</v>
      </c>
      <c r="D30" s="314">
        <f t="shared" si="11"/>
        <v>0</v>
      </c>
      <c r="E30" s="311">
        <v>1</v>
      </c>
      <c r="F30" s="314">
        <f t="shared" si="12"/>
        <v>0</v>
      </c>
      <c r="G30" s="311">
        <v>1</v>
      </c>
      <c r="H30" s="314">
        <f t="shared" si="13"/>
        <v>0</v>
      </c>
      <c r="I30" s="313">
        <f t="shared" si="14"/>
        <v>3</v>
      </c>
      <c r="J30" s="318">
        <f t="shared" si="15"/>
        <v>0</v>
      </c>
      <c r="K30" s="311">
        <v>1</v>
      </c>
      <c r="L30" s="314">
        <f t="shared" si="16"/>
        <v>0</v>
      </c>
      <c r="M30" s="311"/>
      <c r="N30" s="314">
        <f t="shared" si="17"/>
        <v>-1</v>
      </c>
      <c r="O30" s="311"/>
      <c r="P30" s="314">
        <f t="shared" si="18"/>
        <v>-1</v>
      </c>
      <c r="Q30" s="313">
        <f t="shared" si="19"/>
        <v>1</v>
      </c>
      <c r="R30" s="318">
        <f t="shared" si="20"/>
        <v>-0.66666666666666674</v>
      </c>
    </row>
    <row r="31" spans="1:18" ht="15" hidden="1" customHeight="1" x14ac:dyDescent="0.25">
      <c r="A31" s="310" t="s">
        <v>175</v>
      </c>
      <c r="B31" s="315">
        <v>1</v>
      </c>
      <c r="C31" s="311">
        <v>1</v>
      </c>
      <c r="D31" s="314">
        <f t="shared" si="11"/>
        <v>0</v>
      </c>
      <c r="E31" s="311">
        <v>1</v>
      </c>
      <c r="F31" s="314">
        <f t="shared" si="12"/>
        <v>0</v>
      </c>
      <c r="G31" s="311">
        <v>1</v>
      </c>
      <c r="H31" s="314">
        <f t="shared" si="13"/>
        <v>0</v>
      </c>
      <c r="I31" s="313">
        <f t="shared" si="14"/>
        <v>3</v>
      </c>
      <c r="J31" s="318">
        <f t="shared" si="15"/>
        <v>0</v>
      </c>
      <c r="K31" s="311">
        <v>1</v>
      </c>
      <c r="L31" s="314">
        <f t="shared" si="16"/>
        <v>0</v>
      </c>
      <c r="M31" s="311"/>
      <c r="N31" s="314">
        <f t="shared" si="17"/>
        <v>-1</v>
      </c>
      <c r="O31" s="311"/>
      <c r="P31" s="314">
        <f t="shared" si="18"/>
        <v>-1</v>
      </c>
      <c r="Q31" s="313">
        <f t="shared" si="19"/>
        <v>1</v>
      </c>
      <c r="R31" s="318">
        <f t="shared" si="20"/>
        <v>-0.66666666666666674</v>
      </c>
    </row>
    <row r="32" spans="1:18" ht="15" hidden="1" customHeight="1" x14ac:dyDescent="0.25">
      <c r="A32" s="310" t="s">
        <v>145</v>
      </c>
      <c r="B32" s="315">
        <v>3</v>
      </c>
      <c r="C32" s="311">
        <v>3</v>
      </c>
      <c r="D32" s="314">
        <f t="shared" si="11"/>
        <v>0</v>
      </c>
      <c r="E32" s="311">
        <v>3</v>
      </c>
      <c r="F32" s="314">
        <f t="shared" si="12"/>
        <v>0</v>
      </c>
      <c r="G32" s="311">
        <v>3</v>
      </c>
      <c r="H32" s="314">
        <f t="shared" si="13"/>
        <v>0</v>
      </c>
      <c r="I32" s="313">
        <f t="shared" si="14"/>
        <v>9</v>
      </c>
      <c r="J32" s="318">
        <f t="shared" si="15"/>
        <v>0</v>
      </c>
      <c r="K32" s="311">
        <v>3</v>
      </c>
      <c r="L32" s="314">
        <f t="shared" si="16"/>
        <v>0</v>
      </c>
      <c r="M32" s="311"/>
      <c r="N32" s="314">
        <f t="shared" si="17"/>
        <v>-1</v>
      </c>
      <c r="O32" s="311"/>
      <c r="P32" s="314">
        <f t="shared" si="18"/>
        <v>-1</v>
      </c>
      <c r="Q32" s="313">
        <f t="shared" si="19"/>
        <v>3</v>
      </c>
      <c r="R32" s="318">
        <f t="shared" si="20"/>
        <v>-0.66666666666666674</v>
      </c>
    </row>
    <row r="33" spans="1:18" ht="15.75" hidden="1" customHeight="1" thickBot="1" x14ac:dyDescent="0.3">
      <c r="A33" s="49" t="s">
        <v>184</v>
      </c>
      <c r="B33" s="727">
        <v>2</v>
      </c>
      <c r="C33" s="731">
        <v>3</v>
      </c>
      <c r="D33" s="728">
        <f t="shared" si="11"/>
        <v>0.5</v>
      </c>
      <c r="E33" s="302">
        <v>3</v>
      </c>
      <c r="F33" s="728">
        <f t="shared" si="12"/>
        <v>0.5</v>
      </c>
      <c r="G33" s="302">
        <v>2</v>
      </c>
      <c r="H33" s="728">
        <f t="shared" si="13"/>
        <v>0</v>
      </c>
      <c r="I33" s="334">
        <f t="shared" si="14"/>
        <v>8</v>
      </c>
      <c r="J33" s="312">
        <f t="shared" si="15"/>
        <v>0.33333333333333326</v>
      </c>
      <c r="K33" s="302">
        <v>3</v>
      </c>
      <c r="L33" s="728">
        <f t="shared" si="16"/>
        <v>0.5</v>
      </c>
      <c r="M33" s="302"/>
      <c r="N33" s="728">
        <f t="shared" si="17"/>
        <v>-1</v>
      </c>
      <c r="O33" s="302"/>
      <c r="P33" s="728">
        <f t="shared" si="18"/>
        <v>-1</v>
      </c>
      <c r="Q33" s="334">
        <f t="shared" si="19"/>
        <v>3</v>
      </c>
      <c r="R33" s="312">
        <f t="shared" si="20"/>
        <v>-0.5</v>
      </c>
    </row>
    <row r="34" spans="1:18" ht="15.75" hidden="1" customHeight="1" thickBot="1" x14ac:dyDescent="0.3">
      <c r="A34" s="50" t="s">
        <v>2</v>
      </c>
      <c r="B34" s="52">
        <f>SUM(B23:B33)</f>
        <v>61</v>
      </c>
      <c r="C34" s="54">
        <f>SUM(C23:C33)</f>
        <v>61</v>
      </c>
      <c r="D34" s="59">
        <f t="shared" si="11"/>
        <v>0</v>
      </c>
      <c r="E34" s="54">
        <f>SUM(E23:E33)</f>
        <v>61</v>
      </c>
      <c r="F34" s="59">
        <f t="shared" si="12"/>
        <v>0</v>
      </c>
      <c r="G34" s="54">
        <f>SUM(G23:G33)</f>
        <v>57</v>
      </c>
      <c r="H34" s="59">
        <f t="shared" si="13"/>
        <v>-6.557377049180324E-2</v>
      </c>
      <c r="I34" s="53">
        <f t="shared" si="14"/>
        <v>179</v>
      </c>
      <c r="J34" s="300">
        <f t="shared" si="15"/>
        <v>-2.1857923497267784E-2</v>
      </c>
      <c r="K34" s="54">
        <f>SUM(K23:K33)</f>
        <v>59</v>
      </c>
      <c r="L34" s="59">
        <f t="shared" si="16"/>
        <v>-3.2786885245901676E-2</v>
      </c>
      <c r="M34" s="54">
        <f>SUM(M23:M33)</f>
        <v>0</v>
      </c>
      <c r="N34" s="59">
        <f t="shared" si="17"/>
        <v>-1</v>
      </c>
      <c r="O34" s="54">
        <f>SUM(O23:O33)</f>
        <v>0</v>
      </c>
      <c r="P34" s="59">
        <f t="shared" si="18"/>
        <v>-1</v>
      </c>
      <c r="Q34" s="53">
        <f t="shared" si="19"/>
        <v>59</v>
      </c>
      <c r="R34" s="300">
        <f t="shared" si="20"/>
        <v>-0.67759562841530052</v>
      </c>
    </row>
    <row r="35" spans="1:18" ht="15" hidden="1" customHeight="1" x14ac:dyDescent="0.25"/>
    <row r="36" spans="1:18" ht="15" hidden="1" customHeight="1" x14ac:dyDescent="0.25"/>
    <row r="37" spans="1:18" ht="15.75" hidden="1" x14ac:dyDescent="0.25">
      <c r="A37" s="803" t="s">
        <v>363</v>
      </c>
      <c r="B37" s="802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</row>
    <row r="38" spans="1:18" ht="24.75" hidden="1" thickBot="1" x14ac:dyDescent="0.3">
      <c r="A38" s="120" t="s">
        <v>8</v>
      </c>
      <c r="B38" s="121" t="s">
        <v>9</v>
      </c>
      <c r="C38" s="122" t="str">
        <f t="shared" ref="C38:R38" si="21">C22</f>
        <v>JUL</v>
      </c>
      <c r="D38" s="123" t="str">
        <f t="shared" si="21"/>
        <v>%</v>
      </c>
      <c r="E38" s="122" t="str">
        <f t="shared" si="21"/>
        <v>AGO</v>
      </c>
      <c r="F38" s="123" t="str">
        <f t="shared" si="21"/>
        <v>%</v>
      </c>
      <c r="G38" s="122" t="str">
        <f t="shared" si="21"/>
        <v>SET</v>
      </c>
      <c r="H38" s="123" t="str">
        <f t="shared" si="21"/>
        <v>%</v>
      </c>
      <c r="I38" s="124" t="str">
        <f t="shared" si="21"/>
        <v>Trimestre</v>
      </c>
      <c r="J38" s="124" t="str">
        <f t="shared" si="21"/>
        <v>%</v>
      </c>
      <c r="K38" s="122" t="str">
        <f t="shared" si="21"/>
        <v>OUT</v>
      </c>
      <c r="L38" s="123" t="str">
        <f t="shared" si="21"/>
        <v>%</v>
      </c>
      <c r="M38" s="122" t="str">
        <f t="shared" si="21"/>
        <v>NOV</v>
      </c>
      <c r="N38" s="123" t="str">
        <f t="shared" si="21"/>
        <v>%</v>
      </c>
      <c r="O38" s="122" t="str">
        <f t="shared" si="21"/>
        <v>DEZ</v>
      </c>
      <c r="P38" s="123" t="str">
        <f t="shared" si="21"/>
        <v>%</v>
      </c>
      <c r="Q38" s="124" t="str">
        <f t="shared" si="21"/>
        <v>Trimestre</v>
      </c>
      <c r="R38" s="124" t="str">
        <f t="shared" si="21"/>
        <v>%</v>
      </c>
    </row>
    <row r="39" spans="1:18" hidden="1" x14ac:dyDescent="0.25">
      <c r="A39" s="310" t="s">
        <v>172</v>
      </c>
      <c r="B39" s="315">
        <v>13</v>
      </c>
      <c r="C39" s="311">
        <v>12</v>
      </c>
      <c r="D39" s="314">
        <f>((C39/$B39))-1</f>
        <v>-7.6923076923076872E-2</v>
      </c>
      <c r="E39" s="311">
        <v>12</v>
      </c>
      <c r="F39" s="314">
        <f>((E39/$B39))-1</f>
        <v>-7.6923076923076872E-2</v>
      </c>
      <c r="G39" s="311">
        <v>12</v>
      </c>
      <c r="H39" s="314">
        <f>((G39/$B39))-1</f>
        <v>-7.6923076923076872E-2</v>
      </c>
      <c r="I39" s="313">
        <f>C39+E39+G39</f>
        <v>36</v>
      </c>
      <c r="J39" s="318">
        <f>((I39/(3*$B39)))-1</f>
        <v>-7.6923076923076872E-2</v>
      </c>
      <c r="K39" s="311">
        <v>12</v>
      </c>
      <c r="L39" s="314">
        <f>((K39/$B39))-1</f>
        <v>-7.6923076923076872E-2</v>
      </c>
      <c r="M39" s="311"/>
      <c r="N39" s="314">
        <f>((M39/$B39))-1</f>
        <v>-1</v>
      </c>
      <c r="O39" s="311"/>
      <c r="P39" s="314">
        <f>((O39/$B39))-1</f>
        <v>-1</v>
      </c>
      <c r="Q39" s="313">
        <f>K39+M39+O39</f>
        <v>12</v>
      </c>
      <c r="R39" s="318">
        <f>((Q39/(3*$B39)))-1</f>
        <v>-0.69230769230769229</v>
      </c>
    </row>
    <row r="40" spans="1:18" hidden="1" x14ac:dyDescent="0.25">
      <c r="A40" s="323" t="s">
        <v>162</v>
      </c>
      <c r="B40" s="397">
        <v>12</v>
      </c>
      <c r="C40" s="329">
        <v>11</v>
      </c>
      <c r="D40" s="330">
        <f>((C40/$B40))-1</f>
        <v>-8.333333333333337E-2</v>
      </c>
      <c r="E40" s="329">
        <v>11</v>
      </c>
      <c r="F40" s="330">
        <f>((E40/$B40))-1</f>
        <v>-8.333333333333337E-2</v>
      </c>
      <c r="G40" s="329">
        <v>11</v>
      </c>
      <c r="H40" s="330">
        <f>((G40/$B40))-1</f>
        <v>-8.333333333333337E-2</v>
      </c>
      <c r="I40" s="331">
        <f>C40+E40+G40</f>
        <v>33</v>
      </c>
      <c r="J40" s="332">
        <f>((I40/(3*$B40)))-1</f>
        <v>-8.333333333333337E-2</v>
      </c>
      <c r="K40" s="329">
        <v>11</v>
      </c>
      <c r="L40" s="330">
        <f>((K40/$B40))-1</f>
        <v>-8.333333333333337E-2</v>
      </c>
      <c r="M40" s="329"/>
      <c r="N40" s="330">
        <f>((M40/$B40))-1</f>
        <v>-1</v>
      </c>
      <c r="O40" s="329"/>
      <c r="P40" s="330">
        <f>((O40/$B40))-1</f>
        <v>-1</v>
      </c>
      <c r="Q40" s="331">
        <f>K40+M40+O40</f>
        <v>11</v>
      </c>
      <c r="R40" s="332">
        <f>((Q40/(3*$B40)))-1</f>
        <v>-0.69444444444444442</v>
      </c>
    </row>
    <row r="41" spans="1:18" ht="15.75" hidden="1" thickBot="1" x14ac:dyDescent="0.3">
      <c r="A41" s="50" t="s">
        <v>2</v>
      </c>
      <c r="B41" s="52">
        <f>SUM(B39:B40)</f>
        <v>25</v>
      </c>
      <c r="C41" s="54">
        <f>SUM(C39:C40)</f>
        <v>23</v>
      </c>
      <c r="D41" s="59">
        <f>((C41/$B41))-1</f>
        <v>-7.999999999999996E-2</v>
      </c>
      <c r="E41" s="54">
        <f>SUM(E39:E40)</f>
        <v>23</v>
      </c>
      <c r="F41" s="59">
        <f>((E41/$B41))-1</f>
        <v>-7.999999999999996E-2</v>
      </c>
      <c r="G41" s="54">
        <f>SUM(G39:G40)</f>
        <v>23</v>
      </c>
      <c r="H41" s="59">
        <f>((G41/$B41))-1</f>
        <v>-7.999999999999996E-2</v>
      </c>
      <c r="I41" s="53">
        <f>C41+E41+G41</f>
        <v>69</v>
      </c>
      <c r="J41" s="60">
        <f>((I41/(3*$B41)))-1</f>
        <v>-7.999999999999996E-2</v>
      </c>
      <c r="K41" s="54">
        <f>SUM(K39:K40)</f>
        <v>23</v>
      </c>
      <c r="L41" s="59">
        <f>((K41/$B41))-1</f>
        <v>-7.999999999999996E-2</v>
      </c>
      <c r="M41" s="54">
        <f>SUM(M39:M40)</f>
        <v>0</v>
      </c>
      <c r="N41" s="59">
        <f>((M41/$B41))-1</f>
        <v>-1</v>
      </c>
      <c r="O41" s="54">
        <f>SUM(O39:O40)</f>
        <v>0</v>
      </c>
      <c r="P41" s="59">
        <f>((O41/$B41))-1</f>
        <v>-1</v>
      </c>
      <c r="Q41" s="53">
        <f>K41+M41+O41</f>
        <v>23</v>
      </c>
      <c r="R41" s="398">
        <f>((Q41/(3*$B41)))-1</f>
        <v>-0.69333333333333336</v>
      </c>
    </row>
  </sheetData>
  <mergeCells count="5">
    <mergeCell ref="A21:R21"/>
    <mergeCell ref="A5:R5"/>
    <mergeCell ref="A2:R2"/>
    <mergeCell ref="A3:R3"/>
    <mergeCell ref="A37:R37"/>
  </mergeCells>
  <pageMargins left="0.23622047244094491" right="0.23622047244094491" top="0.47244094488188981" bottom="0.74803149606299213" header="0.31496062992125984" footer="0.31496062992125984"/>
  <pageSetup paperSize="9" scale="73" orientation="landscape" r:id="rId1"/>
  <headerFooter>
    <oddFooter>&amp;L&amp;10Fonte: Sistema WEBSAASS / SMS&amp;R&amp;10pag.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2:P21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7.85546875" customWidth="1"/>
    <col min="2" max="3" width="9.28515625" bestFit="1" customWidth="1"/>
    <col min="4" max="4" width="10" customWidth="1"/>
    <col min="5" max="5" width="9.28515625" bestFit="1" customWidth="1"/>
    <col min="6" max="6" width="10" customWidth="1"/>
    <col min="7" max="7" width="9.28515625" bestFit="1" customWidth="1"/>
    <col min="8" max="8" width="10" customWidth="1"/>
    <col min="9" max="10" width="9.28515625" bestFit="1" customWidth="1"/>
    <col min="11" max="11" width="10" customWidth="1"/>
    <col min="12" max="12" width="9.28515625" bestFit="1" customWidth="1"/>
    <col min="13" max="13" width="10" customWidth="1"/>
    <col min="14" max="14" width="9.28515625" bestFit="1" customWidth="1"/>
    <col min="15" max="15" width="10" customWidth="1"/>
    <col min="16" max="16" width="9.28515625" bestFit="1" customWidth="1"/>
  </cols>
  <sheetData>
    <row r="2" spans="1:16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1:16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</row>
    <row r="5" spans="1:16" ht="16.5" thickBot="1" x14ac:dyDescent="0.3">
      <c r="A5" s="809" t="s">
        <v>391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</row>
    <row r="6" spans="1:16" ht="24" x14ac:dyDescent="0.25">
      <c r="A6" s="479" t="s">
        <v>8</v>
      </c>
      <c r="B6" s="480" t="s">
        <v>9</v>
      </c>
      <c r="C6" s="481" t="str">
        <f>'UBS Vila Dalva 1° SEM'!C6</f>
        <v>JAN</v>
      </c>
      <c r="D6" s="482" t="str">
        <f>'UBS Vila Dalva 1° SEM'!D6</f>
        <v>%</v>
      </c>
      <c r="E6" s="481" t="str">
        <f>'UBS Vila Dalva 1° SEM'!E6</f>
        <v>FEV</v>
      </c>
      <c r="F6" s="482" t="str">
        <f>'UBS Vila Dalva 1° SEM'!F6</f>
        <v>%</v>
      </c>
      <c r="G6" s="481" t="str">
        <f>'UBS Vila Dalva 1° SEM'!G6</f>
        <v>MAR</v>
      </c>
      <c r="H6" s="482" t="str">
        <f>'UBS Vila Dalva 1° SEM'!H6</f>
        <v>%</v>
      </c>
      <c r="I6" s="483" t="str">
        <f>'UBS Vila Dalva 1° SEM'!I6</f>
        <v>Trimestre</v>
      </c>
      <c r="J6" s="481" t="str">
        <f>'UBS Vila Dalva 1° SEM'!K6</f>
        <v>ABR</v>
      </c>
      <c r="K6" s="482" t="str">
        <f>'UBS Vila Dalva 1° SEM'!L6</f>
        <v>%</v>
      </c>
      <c r="L6" s="481" t="str">
        <f>'UBS Vila Dalva 1° SEM'!M6</f>
        <v>MAI</v>
      </c>
      <c r="M6" s="482" t="str">
        <f>'UBS Vila Dalva 1° SEM'!N6</f>
        <v>%</v>
      </c>
      <c r="N6" s="481" t="str">
        <f>'UBS Vila Dalva 1° SEM'!O6</f>
        <v>JUN</v>
      </c>
      <c r="O6" s="482" t="str">
        <f>'UBS Vila Dalva 1° SEM'!P6</f>
        <v>%</v>
      </c>
      <c r="P6" s="483" t="str">
        <f>'UBS Vila Dalva 1° SEM'!Q6</f>
        <v>Trimestre</v>
      </c>
    </row>
    <row r="7" spans="1:16" x14ac:dyDescent="0.25">
      <c r="A7" s="125" t="s">
        <v>312</v>
      </c>
      <c r="B7" s="315" t="s">
        <v>390</v>
      </c>
      <c r="C7" s="311">
        <v>9558</v>
      </c>
      <c r="D7" s="314"/>
      <c r="E7" s="311">
        <v>10287</v>
      </c>
      <c r="F7" s="314"/>
      <c r="G7" s="311">
        <v>8525</v>
      </c>
      <c r="H7" s="314"/>
      <c r="I7" s="313">
        <f>C7+E7+G7</f>
        <v>28370</v>
      </c>
      <c r="J7" s="311">
        <v>7306</v>
      </c>
      <c r="K7" s="314"/>
      <c r="L7" s="311">
        <v>8481</v>
      </c>
      <c r="M7" s="314"/>
      <c r="N7" s="311">
        <v>10875</v>
      </c>
      <c r="O7" s="314"/>
      <c r="P7" s="313">
        <f>J7+L7+N7</f>
        <v>26662</v>
      </c>
    </row>
    <row r="8" spans="1:16" x14ac:dyDescent="0.25">
      <c r="A8" s="125" t="s">
        <v>313</v>
      </c>
      <c r="B8" s="315" t="s">
        <v>390</v>
      </c>
      <c r="C8" s="311">
        <v>331</v>
      </c>
      <c r="D8" s="314"/>
      <c r="E8" s="311">
        <v>314</v>
      </c>
      <c r="F8" s="314"/>
      <c r="G8" s="311">
        <v>319</v>
      </c>
      <c r="H8" s="314"/>
      <c r="I8" s="313">
        <f t="shared" ref="I8:I10" si="0">C8+E8+G8</f>
        <v>964</v>
      </c>
      <c r="J8" s="311">
        <v>247</v>
      </c>
      <c r="K8" s="314"/>
      <c r="L8" s="311">
        <v>295</v>
      </c>
      <c r="M8" s="314"/>
      <c r="N8" s="311">
        <v>247</v>
      </c>
      <c r="O8" s="314"/>
      <c r="P8" s="313">
        <f t="shared" ref="P8" si="1">J8+L8+N8</f>
        <v>789</v>
      </c>
    </row>
    <row r="9" spans="1:16" ht="15.75" thickBot="1" x14ac:dyDescent="0.3">
      <c r="A9" s="401" t="s">
        <v>373</v>
      </c>
      <c r="B9" s="315" t="s">
        <v>390</v>
      </c>
      <c r="C9" s="329">
        <v>0</v>
      </c>
      <c r="D9" s="330"/>
      <c r="E9" s="329">
        <v>1689</v>
      </c>
      <c r="F9" s="330"/>
      <c r="G9" s="329">
        <v>2079</v>
      </c>
      <c r="H9" s="330"/>
      <c r="I9" s="331">
        <f t="shared" si="0"/>
        <v>3768</v>
      </c>
      <c r="J9" s="329">
        <v>1770</v>
      </c>
      <c r="K9" s="330"/>
      <c r="L9" s="329">
        <v>1783</v>
      </c>
      <c r="M9" s="330"/>
      <c r="N9" s="329">
        <v>1815</v>
      </c>
      <c r="O9" s="330"/>
      <c r="P9" s="331">
        <f t="shared" ref="P9" si="2">J9+L9+N9</f>
        <v>5368</v>
      </c>
    </row>
    <row r="10" spans="1:16" ht="15.75" thickBot="1" x14ac:dyDescent="0.3">
      <c r="A10" s="475" t="s">
        <v>2</v>
      </c>
      <c r="B10" s="476">
        <f>SUM(B7:B9)</f>
        <v>0</v>
      </c>
      <c r="C10" s="403">
        <f>SUM(C7:C9)</f>
        <v>9889</v>
      </c>
      <c r="D10" s="409"/>
      <c r="E10" s="403">
        <f>SUM(E7:E9)</f>
        <v>12290</v>
      </c>
      <c r="F10" s="409"/>
      <c r="G10" s="403">
        <f>SUM(G7:G9)</f>
        <v>10923</v>
      </c>
      <c r="H10" s="409"/>
      <c r="I10" s="372">
        <f t="shared" si="0"/>
        <v>33102</v>
      </c>
      <c r="J10" s="403">
        <f>SUM(J7:J9)</f>
        <v>9323</v>
      </c>
      <c r="K10" s="409"/>
      <c r="L10" s="403">
        <f>SUM(L7:L9)</f>
        <v>10559</v>
      </c>
      <c r="M10" s="409"/>
      <c r="N10" s="403">
        <f>SUM(N7:N9)</f>
        <v>12937</v>
      </c>
      <c r="O10" s="409"/>
      <c r="P10" s="372">
        <f t="shared" ref="P10" si="3">J10+L10+N10</f>
        <v>32819</v>
      </c>
    </row>
    <row r="12" spans="1:16" ht="15.75" hidden="1" x14ac:dyDescent="0.25">
      <c r="A12" s="801" t="s">
        <v>365</v>
      </c>
      <c r="B12" s="802"/>
      <c r="C12" s="802"/>
      <c r="D12" s="802"/>
      <c r="E12" s="802"/>
      <c r="F12" s="802"/>
      <c r="G12" s="802"/>
      <c r="H12" s="802"/>
      <c r="I12" s="802"/>
      <c r="J12" s="802"/>
      <c r="K12" s="802"/>
      <c r="L12" s="802"/>
      <c r="M12" s="802"/>
      <c r="N12" s="802"/>
      <c r="O12" s="802"/>
      <c r="P12" s="802"/>
    </row>
    <row r="13" spans="1:16" ht="24.75" hidden="1" thickBot="1" x14ac:dyDescent="0.3">
      <c r="A13" s="429" t="s">
        <v>8</v>
      </c>
      <c r="B13" s="430" t="s">
        <v>9</v>
      </c>
      <c r="C13" s="122" t="str">
        <f>'UBS Vila Dalva 1° SEM'!C6</f>
        <v>JAN</v>
      </c>
      <c r="D13" s="123" t="str">
        <f>'UBS Vila Dalva 1° SEM'!D6</f>
        <v>%</v>
      </c>
      <c r="E13" s="122" t="str">
        <f>'UBS Vila Dalva 1° SEM'!E6</f>
        <v>FEV</v>
      </c>
      <c r="F13" s="123" t="str">
        <f>'UBS Vila Dalva 1° SEM'!F6</f>
        <v>%</v>
      </c>
      <c r="G13" s="122" t="str">
        <f>'UBS Vila Dalva 1° SEM'!G6</f>
        <v>MAR</v>
      </c>
      <c r="H13" s="123" t="str">
        <f>'UBS Vila Dalva 1° SEM'!H6</f>
        <v>%</v>
      </c>
      <c r="I13" s="124" t="str">
        <f>'UBS Vila Dalva 1° SEM'!I6</f>
        <v>Trimestre</v>
      </c>
      <c r="J13" s="122" t="str">
        <f>'UBS Vila Dalva 1° SEM'!K6</f>
        <v>ABR</v>
      </c>
      <c r="K13" s="123" t="str">
        <f>'UBS Vila Dalva 1° SEM'!L6</f>
        <v>%</v>
      </c>
      <c r="L13" s="122" t="str">
        <f>'UBS Vila Dalva 1° SEM'!M6</f>
        <v>MAI</v>
      </c>
      <c r="M13" s="123" t="str">
        <f>'UBS Vila Dalva 1° SEM'!N6</f>
        <v>%</v>
      </c>
      <c r="N13" s="122" t="str">
        <f>'UBS Vila Dalva 1° SEM'!O6</f>
        <v>JUN</v>
      </c>
      <c r="O13" s="123" t="str">
        <f>'UBS Vila Dalva 1° SEM'!P6</f>
        <v>%</v>
      </c>
      <c r="P13" s="124" t="str">
        <f>'UBS Vila Dalva 1° SEM'!Q6</f>
        <v>Trimestre</v>
      </c>
    </row>
    <row r="14" spans="1:16" hidden="1" x14ac:dyDescent="0.25">
      <c r="A14" s="310" t="s">
        <v>261</v>
      </c>
      <c r="B14" s="315">
        <v>7</v>
      </c>
      <c r="C14" s="311">
        <v>7</v>
      </c>
      <c r="D14" s="314">
        <f>((C14/$B14))-1</f>
        <v>0</v>
      </c>
      <c r="E14" s="311">
        <v>7</v>
      </c>
      <c r="F14" s="314">
        <f>((E14/$B14))-1</f>
        <v>0</v>
      </c>
      <c r="G14" s="311">
        <v>5</v>
      </c>
      <c r="H14" s="314">
        <f>((G14/$B14))-1</f>
        <v>-0.2857142857142857</v>
      </c>
      <c r="I14" s="313">
        <f>C14+E14+G14</f>
        <v>19</v>
      </c>
      <c r="J14" s="311">
        <v>6</v>
      </c>
      <c r="K14" s="314">
        <f>((J14/$B14))-1</f>
        <v>-0.1428571428571429</v>
      </c>
      <c r="L14" s="311">
        <v>5</v>
      </c>
      <c r="M14" s="314">
        <f>((L14/$B14))-1</f>
        <v>-0.2857142857142857</v>
      </c>
      <c r="N14" s="311">
        <v>5</v>
      </c>
      <c r="O14" s="314">
        <f>((N14/$B14))-1</f>
        <v>-0.2857142857142857</v>
      </c>
      <c r="P14" s="313">
        <f>J14+L14+N14</f>
        <v>16</v>
      </c>
    </row>
    <row r="15" spans="1:16" hidden="1" x14ac:dyDescent="0.25">
      <c r="A15" s="310" t="s">
        <v>263</v>
      </c>
      <c r="B15" s="315">
        <v>35</v>
      </c>
      <c r="C15" s="311">
        <v>31</v>
      </c>
      <c r="D15" s="314">
        <f t="shared" ref="D15:D20" si="4">((C15/$B15))-1</f>
        <v>-0.11428571428571432</v>
      </c>
      <c r="E15" s="311">
        <v>31</v>
      </c>
      <c r="F15" s="314">
        <f t="shared" ref="F15:F20" si="5">((E15/$B15))-1</f>
        <v>-0.11428571428571432</v>
      </c>
      <c r="G15" s="311">
        <v>31</v>
      </c>
      <c r="H15" s="314">
        <f t="shared" ref="H15:H20" si="6">((G15/$B15))-1</f>
        <v>-0.11428571428571432</v>
      </c>
      <c r="I15" s="313">
        <f t="shared" ref="I15:I20" si="7">C15+E15+G15</f>
        <v>93</v>
      </c>
      <c r="J15" s="311">
        <v>30</v>
      </c>
      <c r="K15" s="314">
        <f t="shared" ref="K15:K20" si="8">((J15/$B15))-1</f>
        <v>-0.1428571428571429</v>
      </c>
      <c r="L15" s="311">
        <v>17</v>
      </c>
      <c r="M15" s="314">
        <f t="shared" ref="M15:M20" si="9">((L15/$B15))-1</f>
        <v>-0.51428571428571423</v>
      </c>
      <c r="N15" s="311">
        <v>21</v>
      </c>
      <c r="O15" s="314">
        <f t="shared" ref="O15:O20" si="10">((N15/$B15))-1</f>
        <v>-0.4</v>
      </c>
      <c r="P15" s="313">
        <f t="shared" ref="P15:P21" si="11">J15+L15+N15</f>
        <v>68</v>
      </c>
    </row>
    <row r="16" spans="1:16" hidden="1" x14ac:dyDescent="0.25">
      <c r="A16" s="310" t="s">
        <v>371</v>
      </c>
      <c r="B16" s="315">
        <v>1</v>
      </c>
      <c r="C16" s="311">
        <v>1</v>
      </c>
      <c r="D16" s="314">
        <f t="shared" si="4"/>
        <v>0</v>
      </c>
      <c r="E16" s="311">
        <v>1</v>
      </c>
      <c r="F16" s="314">
        <f t="shared" si="5"/>
        <v>0</v>
      </c>
      <c r="G16" s="311">
        <v>1</v>
      </c>
      <c r="H16" s="314">
        <f t="shared" si="6"/>
        <v>0</v>
      </c>
      <c r="I16" s="313">
        <f t="shared" si="7"/>
        <v>3</v>
      </c>
      <c r="J16" s="311">
        <v>1</v>
      </c>
      <c r="K16" s="314">
        <f t="shared" si="8"/>
        <v>0</v>
      </c>
      <c r="L16" s="311">
        <v>0</v>
      </c>
      <c r="M16" s="314">
        <f t="shared" si="9"/>
        <v>-1</v>
      </c>
      <c r="N16" s="311">
        <v>0</v>
      </c>
      <c r="O16" s="314">
        <f t="shared" si="10"/>
        <v>-1</v>
      </c>
      <c r="P16" s="313"/>
    </row>
    <row r="17" spans="1:16" hidden="1" x14ac:dyDescent="0.25">
      <c r="A17" s="310" t="s">
        <v>262</v>
      </c>
      <c r="B17" s="315">
        <v>28</v>
      </c>
      <c r="C17" s="311">
        <v>24</v>
      </c>
      <c r="D17" s="314">
        <f t="shared" si="4"/>
        <v>-0.1428571428571429</v>
      </c>
      <c r="E17" s="311">
        <v>24</v>
      </c>
      <c r="F17" s="314">
        <f t="shared" si="5"/>
        <v>-0.1428571428571429</v>
      </c>
      <c r="G17" s="311">
        <v>27</v>
      </c>
      <c r="H17" s="314">
        <f t="shared" si="6"/>
        <v>-3.5714285714285698E-2</v>
      </c>
      <c r="I17" s="313">
        <f t="shared" si="7"/>
        <v>75</v>
      </c>
      <c r="J17" s="311">
        <v>24</v>
      </c>
      <c r="K17" s="314">
        <f t="shared" si="8"/>
        <v>-0.1428571428571429</v>
      </c>
      <c r="L17" s="311">
        <v>23</v>
      </c>
      <c r="M17" s="314">
        <f t="shared" si="9"/>
        <v>-0.1785714285714286</v>
      </c>
      <c r="N17" s="311">
        <v>23</v>
      </c>
      <c r="O17" s="314">
        <f t="shared" si="10"/>
        <v>-0.1785714285714286</v>
      </c>
      <c r="P17" s="313">
        <f t="shared" si="11"/>
        <v>70</v>
      </c>
    </row>
    <row r="18" spans="1:16" hidden="1" x14ac:dyDescent="0.25">
      <c r="A18" s="310" t="s">
        <v>372</v>
      </c>
      <c r="B18" s="315">
        <v>1</v>
      </c>
      <c r="C18" s="311">
        <v>1</v>
      </c>
      <c r="D18" s="314">
        <f t="shared" si="4"/>
        <v>0</v>
      </c>
      <c r="E18" s="311">
        <v>1</v>
      </c>
      <c r="F18" s="314">
        <f t="shared" si="5"/>
        <v>0</v>
      </c>
      <c r="G18" s="311">
        <v>1</v>
      </c>
      <c r="H18" s="314">
        <f t="shared" si="6"/>
        <v>0</v>
      </c>
      <c r="I18" s="313">
        <f t="shared" si="7"/>
        <v>3</v>
      </c>
      <c r="J18" s="311">
        <v>1</v>
      </c>
      <c r="K18" s="314">
        <f t="shared" si="8"/>
        <v>0</v>
      </c>
      <c r="L18" s="311">
        <v>1</v>
      </c>
      <c r="M18" s="314">
        <f t="shared" si="9"/>
        <v>0</v>
      </c>
      <c r="N18" s="311">
        <v>1</v>
      </c>
      <c r="O18" s="314">
        <f t="shared" si="10"/>
        <v>0</v>
      </c>
      <c r="P18" s="313"/>
    </row>
    <row r="19" spans="1:16" hidden="1" x14ac:dyDescent="0.25">
      <c r="A19" s="310" t="s">
        <v>264</v>
      </c>
      <c r="B19" s="315">
        <v>14</v>
      </c>
      <c r="C19" s="311">
        <v>13</v>
      </c>
      <c r="D19" s="314">
        <f t="shared" si="4"/>
        <v>-7.1428571428571397E-2</v>
      </c>
      <c r="E19" s="311">
        <v>13</v>
      </c>
      <c r="F19" s="314">
        <f t="shared" si="5"/>
        <v>-7.1428571428571397E-2</v>
      </c>
      <c r="G19" s="311">
        <v>13</v>
      </c>
      <c r="H19" s="314">
        <f t="shared" si="6"/>
        <v>-7.1428571428571397E-2</v>
      </c>
      <c r="I19" s="313">
        <f t="shared" si="7"/>
        <v>39</v>
      </c>
      <c r="J19" s="311">
        <v>13</v>
      </c>
      <c r="K19" s="314">
        <f t="shared" si="8"/>
        <v>-7.1428571428571397E-2</v>
      </c>
      <c r="L19" s="311">
        <v>13</v>
      </c>
      <c r="M19" s="314">
        <f t="shared" si="9"/>
        <v>-7.1428571428571397E-2</v>
      </c>
      <c r="N19" s="311">
        <v>14</v>
      </c>
      <c r="O19" s="314">
        <f t="shared" si="10"/>
        <v>0</v>
      </c>
      <c r="P19" s="313">
        <f t="shared" si="11"/>
        <v>40</v>
      </c>
    </row>
    <row r="20" spans="1:16" hidden="1" x14ac:dyDescent="0.25">
      <c r="A20" s="386" t="s">
        <v>283</v>
      </c>
      <c r="B20" s="315">
        <v>14</v>
      </c>
      <c r="C20" s="311">
        <v>14</v>
      </c>
      <c r="D20" s="314">
        <f t="shared" si="4"/>
        <v>0</v>
      </c>
      <c r="E20" s="311">
        <v>14</v>
      </c>
      <c r="F20" s="314">
        <f t="shared" si="5"/>
        <v>0</v>
      </c>
      <c r="G20" s="311">
        <v>12</v>
      </c>
      <c r="H20" s="314">
        <f t="shared" si="6"/>
        <v>-0.1428571428571429</v>
      </c>
      <c r="I20" s="313">
        <f t="shared" si="7"/>
        <v>40</v>
      </c>
      <c r="J20" s="311">
        <v>14</v>
      </c>
      <c r="K20" s="314">
        <f t="shared" si="8"/>
        <v>0</v>
      </c>
      <c r="L20" s="311">
        <v>11</v>
      </c>
      <c r="M20" s="314">
        <f t="shared" si="9"/>
        <v>-0.2142857142857143</v>
      </c>
      <c r="N20" s="311">
        <v>10</v>
      </c>
      <c r="O20" s="314">
        <f t="shared" si="10"/>
        <v>-0.2857142857142857</v>
      </c>
      <c r="P20" s="313">
        <f t="shared" si="11"/>
        <v>35</v>
      </c>
    </row>
    <row r="21" spans="1:16" ht="15.75" hidden="1" thickBot="1" x14ac:dyDescent="0.3">
      <c r="A21" s="50" t="s">
        <v>2</v>
      </c>
      <c r="B21" s="52">
        <f>SUM(B14:B20)</f>
        <v>100</v>
      </c>
      <c r="C21" s="54">
        <f>SUM(C14:C20)</f>
        <v>91</v>
      </c>
      <c r="D21" s="59">
        <f t="shared" ref="D21" si="12">((C21/$B21))-1</f>
        <v>-8.9999999999999969E-2</v>
      </c>
      <c r="E21" s="54">
        <f>SUM(E14:E20)</f>
        <v>91</v>
      </c>
      <c r="F21" s="59">
        <f t="shared" ref="F21" si="13">((E21/$B21))-1</f>
        <v>-8.9999999999999969E-2</v>
      </c>
      <c r="G21" s="54">
        <f>SUM(G14:G20)</f>
        <v>90</v>
      </c>
      <c r="H21" s="59">
        <f t="shared" ref="H21" si="14">((G21/$B21))-1</f>
        <v>-9.9999999999999978E-2</v>
      </c>
      <c r="I21" s="53">
        <f t="shared" ref="I21" si="15">C21+E21+G21</f>
        <v>272</v>
      </c>
      <c r="J21" s="54">
        <f>SUM(J14:J20)</f>
        <v>89</v>
      </c>
      <c r="K21" s="59">
        <f t="shared" ref="K21" si="16">((J21/$B21))-1</f>
        <v>-0.10999999999999999</v>
      </c>
      <c r="L21" s="54">
        <f>SUM(L14:L20)</f>
        <v>70</v>
      </c>
      <c r="M21" s="59">
        <f t="shared" ref="M21" si="17">((L21/$B21))-1</f>
        <v>-0.30000000000000004</v>
      </c>
      <c r="N21" s="54">
        <f>SUM(N14:N20)</f>
        <v>74</v>
      </c>
      <c r="O21" s="59">
        <f t="shared" ref="O21" si="18">((N21/$B21))-1</f>
        <v>-0.26</v>
      </c>
      <c r="P21" s="53">
        <f t="shared" si="11"/>
        <v>233</v>
      </c>
    </row>
  </sheetData>
  <mergeCells count="4">
    <mergeCell ref="A12:P12"/>
    <mergeCell ref="A2:P2"/>
    <mergeCell ref="A3:P3"/>
    <mergeCell ref="A5:P5"/>
  </mergeCells>
  <pageMargins left="0.23622047244094491" right="0.23622047244094491" top="0.47244094488188981" bottom="0.74803149606299213" header="0.31496062992125984" footer="0.31496062992125984"/>
  <pageSetup paperSize="9" scale="83" orientation="landscape" r:id="rId1"/>
  <headerFooter>
    <oddFooter>&amp;L&amp;10Fonte: Sistema WEBSAASS / SMS&amp;R&amp;10pag.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3E88-ED76-4ACE-8827-B05D6B5AA15E}">
  <sheetPr>
    <tabColor rgb="FF00B0F0"/>
    <pageSetUpPr fitToPage="1"/>
  </sheetPr>
  <dimension ref="A2:R41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7.85546875" customWidth="1"/>
    <col min="2" max="3" width="9.28515625" bestFit="1" customWidth="1"/>
    <col min="4" max="4" width="7.7109375" customWidth="1"/>
    <col min="5" max="5" width="9.28515625" bestFit="1" customWidth="1"/>
    <col min="6" max="6" width="7.7109375" customWidth="1"/>
    <col min="7" max="7" width="9.28515625" bestFit="1" customWidth="1"/>
    <col min="8" max="8" width="7.7109375" customWidth="1"/>
    <col min="9" max="9" width="9.28515625" bestFit="1" customWidth="1"/>
    <col min="10" max="10" width="7.7109375" customWidth="1"/>
    <col min="11" max="11" width="9.28515625" bestFit="1" customWidth="1"/>
    <col min="12" max="12" width="7.7109375" customWidth="1"/>
    <col min="13" max="13" width="9.28515625" bestFit="1" customWidth="1"/>
    <col min="14" max="14" width="7.7109375" customWidth="1"/>
    <col min="15" max="15" width="9.28515625" bestFit="1" customWidth="1"/>
    <col min="16" max="16" width="7.7109375" customWidth="1"/>
    <col min="17" max="17" width="9.28515625" bestFit="1" customWidth="1"/>
    <col min="18" max="18" width="7.8554687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6.5" thickBot="1" x14ac:dyDescent="0.3">
      <c r="A5" s="809" t="s">
        <v>391</v>
      </c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0"/>
    </row>
    <row r="6" spans="1:18" ht="24" x14ac:dyDescent="0.25">
      <c r="A6" s="479" t="s">
        <v>8</v>
      </c>
      <c r="B6" s="480" t="s">
        <v>9</v>
      </c>
      <c r="C6" s="481" t="str">
        <f>'UBS Vila Dalva 2º SEM'!C6</f>
        <v>JUL</v>
      </c>
      <c r="D6" s="482" t="str">
        <f>'UBS Vila Dalva 2º SEM'!D6</f>
        <v>%</v>
      </c>
      <c r="E6" s="481" t="str">
        <f>'UBS Vila Dalva 2º SEM'!E6</f>
        <v>AGO</v>
      </c>
      <c r="F6" s="482" t="str">
        <f>'UBS Vila Dalva 2º SEM'!F6</f>
        <v>%</v>
      </c>
      <c r="G6" s="481" t="str">
        <f>'UBS Vila Dalva 2º SEM'!G6</f>
        <v>SET</v>
      </c>
      <c r="H6" s="482" t="str">
        <f>'UBS Vila Dalva 2º SEM'!H6</f>
        <v>%</v>
      </c>
      <c r="I6" s="483" t="str">
        <f>'UBS Vila Dalva 2º SEM'!I6</f>
        <v>Trimestre</v>
      </c>
      <c r="J6" s="483" t="str">
        <f>'UBS Vila Dalva 2º SEM'!J6</f>
        <v>%</v>
      </c>
      <c r="K6" s="481" t="str">
        <f>'UBS Vila Dalva 2º SEM'!K6</f>
        <v>OUT</v>
      </c>
      <c r="L6" s="482" t="str">
        <f>'UBS Vila Dalva 2º SEM'!L6</f>
        <v>%</v>
      </c>
      <c r="M6" s="481" t="str">
        <f>'UBS Vila Dalva 2º SEM'!M6</f>
        <v>NOV</v>
      </c>
      <c r="N6" s="482" t="str">
        <f>'UBS Vila Dalva 2º SEM'!N6</f>
        <v>%</v>
      </c>
      <c r="O6" s="481" t="str">
        <f>'UBS Vila Dalva 2º SEM'!O6</f>
        <v>DEZ</v>
      </c>
      <c r="P6" s="482" t="str">
        <f>'UBS Vila Dalva 2º SEM'!P6</f>
        <v>%</v>
      </c>
      <c r="Q6" s="483" t="str">
        <f>'UBS Vila Dalva 2º SEM'!Q6</f>
        <v>Trimestre</v>
      </c>
      <c r="R6" s="484" t="str">
        <f>'UBS Vila Dalva 2º SEM'!R6</f>
        <v>%</v>
      </c>
    </row>
    <row r="7" spans="1:18" x14ac:dyDescent="0.25">
      <c r="A7" s="125" t="s">
        <v>312</v>
      </c>
      <c r="B7" s="315" t="s">
        <v>390</v>
      </c>
      <c r="C7" s="311">
        <v>8027</v>
      </c>
      <c r="D7" s="314"/>
      <c r="E7" s="311">
        <v>7468</v>
      </c>
      <c r="F7" s="314"/>
      <c r="G7" s="311">
        <v>7989</v>
      </c>
      <c r="H7" s="314"/>
      <c r="I7" s="313">
        <f>C7+E7+G7</f>
        <v>23484</v>
      </c>
      <c r="J7" s="318"/>
      <c r="K7" s="311">
        <v>9961</v>
      </c>
      <c r="L7" s="314"/>
      <c r="M7" s="311">
        <v>13272</v>
      </c>
      <c r="N7" s="314"/>
      <c r="O7" s="311">
        <v>9895</v>
      </c>
      <c r="P7" s="314"/>
      <c r="Q7" s="313">
        <f>K7+M7+O7</f>
        <v>33128</v>
      </c>
      <c r="R7" s="457"/>
    </row>
    <row r="8" spans="1:18" x14ac:dyDescent="0.25">
      <c r="A8" s="125" t="s">
        <v>313</v>
      </c>
      <c r="B8" s="315" t="s">
        <v>390</v>
      </c>
      <c r="C8" s="311">
        <v>291</v>
      </c>
      <c r="D8" s="314"/>
      <c r="E8" s="311">
        <v>312</v>
      </c>
      <c r="F8" s="314"/>
      <c r="G8" s="311">
        <v>312</v>
      </c>
      <c r="H8" s="314"/>
      <c r="I8" s="313">
        <f>C8+E8+G8</f>
        <v>915</v>
      </c>
      <c r="J8" s="318"/>
      <c r="K8" s="311">
        <v>326</v>
      </c>
      <c r="L8" s="314"/>
      <c r="M8" s="311">
        <v>360</v>
      </c>
      <c r="N8" s="314"/>
      <c r="O8" s="311">
        <v>346</v>
      </c>
      <c r="P8" s="314"/>
      <c r="Q8" s="313">
        <f>K8+M8+O8</f>
        <v>1032</v>
      </c>
      <c r="R8" s="457"/>
    </row>
    <row r="9" spans="1:18" ht="15.75" thickBot="1" x14ac:dyDescent="0.3">
      <c r="A9" s="401" t="s">
        <v>373</v>
      </c>
      <c r="B9" s="315" t="s">
        <v>390</v>
      </c>
      <c r="C9" s="329">
        <v>1751</v>
      </c>
      <c r="D9" s="330"/>
      <c r="E9" s="329">
        <v>2511</v>
      </c>
      <c r="F9" s="330"/>
      <c r="G9" s="329">
        <v>2683</v>
      </c>
      <c r="H9" s="330"/>
      <c r="I9" s="331">
        <f>C9+E9+G9</f>
        <v>6945</v>
      </c>
      <c r="J9" s="332"/>
      <c r="K9" s="329">
        <v>2248</v>
      </c>
      <c r="L9" s="330"/>
      <c r="M9" s="329">
        <v>3373</v>
      </c>
      <c r="N9" s="330"/>
      <c r="O9" s="329">
        <v>3891</v>
      </c>
      <c r="P9" s="330"/>
      <c r="Q9" s="331">
        <f>K9+M9+O9</f>
        <v>9512</v>
      </c>
      <c r="R9" s="458"/>
    </row>
    <row r="10" spans="1:18" ht="15.75" thickBot="1" x14ac:dyDescent="0.3">
      <c r="A10" s="475" t="s">
        <v>2</v>
      </c>
      <c r="B10" s="476">
        <f>SUM(B7:B9)</f>
        <v>0</v>
      </c>
      <c r="C10" s="403">
        <f>SUM(C7:C9)</f>
        <v>10069</v>
      </c>
      <c r="D10" s="409"/>
      <c r="E10" s="403">
        <f>SUM(E7:E9)</f>
        <v>10291</v>
      </c>
      <c r="F10" s="409"/>
      <c r="G10" s="403">
        <f>SUM(G7:G9)</f>
        <v>10984</v>
      </c>
      <c r="H10" s="409"/>
      <c r="I10" s="372">
        <f>C10+E10+G10</f>
        <v>31344</v>
      </c>
      <c r="J10" s="477"/>
      <c r="K10" s="403">
        <f>SUM(K7:K9)</f>
        <v>12535</v>
      </c>
      <c r="L10" s="409"/>
      <c r="M10" s="403">
        <f>SUM(M7:M9)</f>
        <v>17005</v>
      </c>
      <c r="N10" s="409"/>
      <c r="O10" s="403">
        <f>SUM(O7:O9)</f>
        <v>14132</v>
      </c>
      <c r="P10" s="409"/>
      <c r="Q10" s="372">
        <f>K10+M10+O10</f>
        <v>43672</v>
      </c>
      <c r="R10" s="478"/>
    </row>
    <row r="12" spans="1:18" ht="15.75" hidden="1" x14ac:dyDescent="0.25">
      <c r="A12" s="803" t="s">
        <v>365</v>
      </c>
      <c r="B12" s="802"/>
      <c r="C12" s="802"/>
      <c r="D12" s="802"/>
      <c r="E12" s="802"/>
      <c r="F12" s="802"/>
      <c r="G12" s="802"/>
      <c r="H12" s="802"/>
      <c r="I12" s="802"/>
      <c r="J12" s="802"/>
      <c r="K12" s="802"/>
      <c r="L12" s="802"/>
      <c r="M12" s="802"/>
      <c r="N12" s="802"/>
      <c r="O12" s="802"/>
      <c r="P12" s="802"/>
      <c r="Q12" s="802"/>
      <c r="R12" s="802"/>
    </row>
    <row r="13" spans="1:18" ht="24.75" hidden="1" thickBot="1" x14ac:dyDescent="0.3">
      <c r="A13" s="429" t="s">
        <v>8</v>
      </c>
      <c r="B13" s="430" t="s">
        <v>9</v>
      </c>
      <c r="C13" s="122" t="str">
        <f>'UBS Vila Dalva 2º SEM'!C6</f>
        <v>JUL</v>
      </c>
      <c r="D13" s="123" t="str">
        <f>'UBS Vila Dalva 2º SEM'!D6</f>
        <v>%</v>
      </c>
      <c r="E13" s="122" t="str">
        <f>'UBS Vila Dalva 2º SEM'!E6</f>
        <v>AGO</v>
      </c>
      <c r="F13" s="123" t="str">
        <f>'UBS Vila Dalva 2º SEM'!F6</f>
        <v>%</v>
      </c>
      <c r="G13" s="122" t="str">
        <f>'UBS Vila Dalva 2º SEM'!G6</f>
        <v>SET</v>
      </c>
      <c r="H13" s="123" t="str">
        <f>'UBS Vila Dalva 2º SEM'!H6</f>
        <v>%</v>
      </c>
      <c r="I13" s="124" t="str">
        <f>'UBS Vila Dalva 2º SEM'!I6</f>
        <v>Trimestre</v>
      </c>
      <c r="J13" s="124" t="str">
        <f>'UBS Vila Dalva 2º SEM'!J6</f>
        <v>%</v>
      </c>
      <c r="K13" s="122" t="str">
        <f>'UBS Vila Dalva 2º SEM'!K6</f>
        <v>OUT</v>
      </c>
      <c r="L13" s="123" t="str">
        <f>'UBS Vila Dalva 2º SEM'!L6</f>
        <v>%</v>
      </c>
      <c r="M13" s="122" t="str">
        <f>'UBS Vila Dalva 2º SEM'!M6</f>
        <v>NOV</v>
      </c>
      <c r="N13" s="123" t="str">
        <f>'UBS Vila Dalva 2º SEM'!N6</f>
        <v>%</v>
      </c>
      <c r="O13" s="122" t="str">
        <f>'UBS Vila Dalva 2º SEM'!O6</f>
        <v>DEZ</v>
      </c>
      <c r="P13" s="123" t="str">
        <f>'UBS Vila Dalva 2º SEM'!P6</f>
        <v>%</v>
      </c>
      <c r="Q13" s="124" t="str">
        <f>'UBS Vila Dalva 2º SEM'!Q6</f>
        <v>Trimestre</v>
      </c>
      <c r="R13" s="124" t="str">
        <f>'UBS Vila Dalva 2º SEM'!R6</f>
        <v>%</v>
      </c>
    </row>
    <row r="14" spans="1:18" ht="15.75" hidden="1" customHeight="1" thickTop="1" x14ac:dyDescent="0.25">
      <c r="A14" s="310" t="s">
        <v>261</v>
      </c>
      <c r="B14" s="315">
        <v>7</v>
      </c>
      <c r="C14" s="311">
        <v>5</v>
      </c>
      <c r="D14" s="314">
        <f t="shared" ref="D14:D21" si="0">((C14/$B14))-1</f>
        <v>-0.2857142857142857</v>
      </c>
      <c r="E14" s="311">
        <v>5</v>
      </c>
      <c r="F14" s="314">
        <f t="shared" ref="F14:F21" si="1">((E14/$B14))-1</f>
        <v>-0.2857142857142857</v>
      </c>
      <c r="G14" s="311">
        <v>4</v>
      </c>
      <c r="H14" s="314">
        <f t="shared" ref="H14:H21" si="2">((G14/$B14))-1</f>
        <v>-0.4285714285714286</v>
      </c>
      <c r="I14" s="313">
        <f t="shared" ref="I14:I21" si="3">C14+E14+G14</f>
        <v>14</v>
      </c>
      <c r="J14" s="318">
        <f t="shared" ref="J14:J21" si="4">((I14/(3*$B14)))-1</f>
        <v>-0.33333333333333337</v>
      </c>
      <c r="K14" s="311">
        <v>3</v>
      </c>
      <c r="L14" s="314">
        <f t="shared" ref="L14:L21" si="5">((K14/$B14))-1</f>
        <v>-0.5714285714285714</v>
      </c>
      <c r="M14" s="311"/>
      <c r="N14" s="314">
        <f t="shared" ref="N14:N21" si="6">((M14/$B14))-1</f>
        <v>-1</v>
      </c>
      <c r="O14" s="311"/>
      <c r="P14" s="314">
        <f t="shared" ref="P14:P21" si="7">((O14/$B14))-1</f>
        <v>-1</v>
      </c>
      <c r="Q14" s="313">
        <f>K14+M14+O14</f>
        <v>3</v>
      </c>
      <c r="R14" s="318">
        <f>((Q14/(3*$B14)))-1</f>
        <v>-0.85714285714285721</v>
      </c>
    </row>
    <row r="15" spans="1:18" ht="15" hidden="1" customHeight="1" x14ac:dyDescent="0.25">
      <c r="A15" s="310" t="s">
        <v>263</v>
      </c>
      <c r="B15" s="315">
        <v>35</v>
      </c>
      <c r="C15" s="311">
        <v>31</v>
      </c>
      <c r="D15" s="314">
        <f t="shared" si="0"/>
        <v>-0.11428571428571432</v>
      </c>
      <c r="E15" s="311">
        <v>34</v>
      </c>
      <c r="F15" s="314">
        <f t="shared" si="1"/>
        <v>-2.8571428571428581E-2</v>
      </c>
      <c r="G15" s="311">
        <v>33</v>
      </c>
      <c r="H15" s="314">
        <f t="shared" si="2"/>
        <v>-5.7142857142857162E-2</v>
      </c>
      <c r="I15" s="313">
        <f t="shared" si="3"/>
        <v>98</v>
      </c>
      <c r="J15" s="318">
        <f t="shared" si="4"/>
        <v>-6.6666666666666652E-2</v>
      </c>
      <c r="K15" s="311">
        <v>33</v>
      </c>
      <c r="L15" s="314">
        <f t="shared" si="5"/>
        <v>-5.7142857142857162E-2</v>
      </c>
      <c r="M15" s="311"/>
      <c r="N15" s="314">
        <f t="shared" si="6"/>
        <v>-1</v>
      </c>
      <c r="O15" s="311"/>
      <c r="P15" s="314">
        <f t="shared" si="7"/>
        <v>-1</v>
      </c>
      <c r="Q15" s="313">
        <f>K15+M15+O15</f>
        <v>33</v>
      </c>
      <c r="R15" s="318">
        <f>((Q15/(3*$B15)))-1</f>
        <v>-0.68571428571428572</v>
      </c>
    </row>
    <row r="16" spans="1:18" ht="15" hidden="1" customHeight="1" x14ac:dyDescent="0.25">
      <c r="A16" s="310" t="s">
        <v>389</v>
      </c>
      <c r="B16" s="315">
        <v>1</v>
      </c>
      <c r="C16" s="311">
        <v>1</v>
      </c>
      <c r="D16" s="314">
        <f t="shared" si="0"/>
        <v>0</v>
      </c>
      <c r="E16" s="311">
        <v>1</v>
      </c>
      <c r="F16" s="314">
        <f t="shared" si="1"/>
        <v>0</v>
      </c>
      <c r="G16" s="311">
        <v>1</v>
      </c>
      <c r="H16" s="314">
        <f t="shared" si="2"/>
        <v>0</v>
      </c>
      <c r="I16" s="313">
        <f t="shared" si="3"/>
        <v>3</v>
      </c>
      <c r="J16" s="318">
        <f t="shared" si="4"/>
        <v>0</v>
      </c>
      <c r="K16" s="311">
        <v>1</v>
      </c>
      <c r="L16" s="314">
        <f t="shared" si="5"/>
        <v>0</v>
      </c>
      <c r="M16" s="311"/>
      <c r="N16" s="314">
        <f t="shared" si="6"/>
        <v>-1</v>
      </c>
      <c r="O16" s="311"/>
      <c r="P16" s="314">
        <f t="shared" si="7"/>
        <v>-1</v>
      </c>
      <c r="Q16" s="313"/>
      <c r="R16" s="318"/>
    </row>
    <row r="17" spans="1:18" ht="15" hidden="1" customHeight="1" x14ac:dyDescent="0.25">
      <c r="A17" s="310" t="s">
        <v>262</v>
      </c>
      <c r="B17" s="315">
        <v>28</v>
      </c>
      <c r="C17" s="311">
        <v>27</v>
      </c>
      <c r="D17" s="314">
        <f t="shared" si="0"/>
        <v>-3.5714285714285698E-2</v>
      </c>
      <c r="E17" s="311">
        <v>28</v>
      </c>
      <c r="F17" s="314">
        <f t="shared" si="1"/>
        <v>0</v>
      </c>
      <c r="G17" s="311">
        <v>25</v>
      </c>
      <c r="H17" s="314">
        <f t="shared" si="2"/>
        <v>-0.1071428571428571</v>
      </c>
      <c r="I17" s="313">
        <f t="shared" si="3"/>
        <v>80</v>
      </c>
      <c r="J17" s="318">
        <f t="shared" si="4"/>
        <v>-4.7619047619047672E-2</v>
      </c>
      <c r="K17" s="311">
        <v>28</v>
      </c>
      <c r="L17" s="314">
        <f t="shared" si="5"/>
        <v>0</v>
      </c>
      <c r="M17" s="311"/>
      <c r="N17" s="314">
        <f t="shared" si="6"/>
        <v>-1</v>
      </c>
      <c r="O17" s="311"/>
      <c r="P17" s="314">
        <f t="shared" si="7"/>
        <v>-1</v>
      </c>
      <c r="Q17" s="313">
        <f>K17+M17+O17</f>
        <v>28</v>
      </c>
      <c r="R17" s="318">
        <f>((Q17/(3*$B17)))-1</f>
        <v>-0.66666666666666674</v>
      </c>
    </row>
    <row r="18" spans="1:18" ht="15" hidden="1" customHeight="1" x14ac:dyDescent="0.25">
      <c r="A18" s="310" t="s">
        <v>388</v>
      </c>
      <c r="B18" s="315">
        <v>1</v>
      </c>
      <c r="C18" s="311">
        <v>1</v>
      </c>
      <c r="D18" s="314">
        <f t="shared" si="0"/>
        <v>0</v>
      </c>
      <c r="E18" s="311">
        <v>1</v>
      </c>
      <c r="F18" s="314">
        <f t="shared" si="1"/>
        <v>0</v>
      </c>
      <c r="G18" s="311">
        <v>1</v>
      </c>
      <c r="H18" s="314">
        <f t="shared" si="2"/>
        <v>0</v>
      </c>
      <c r="I18" s="313">
        <f t="shared" si="3"/>
        <v>3</v>
      </c>
      <c r="J18" s="318">
        <f t="shared" si="4"/>
        <v>0</v>
      </c>
      <c r="K18" s="311">
        <v>1</v>
      </c>
      <c r="L18" s="314">
        <f t="shared" si="5"/>
        <v>0</v>
      </c>
      <c r="M18" s="311"/>
      <c r="N18" s="314">
        <f t="shared" si="6"/>
        <v>-1</v>
      </c>
      <c r="O18" s="311"/>
      <c r="P18" s="314">
        <f t="shared" si="7"/>
        <v>-1</v>
      </c>
      <c r="Q18" s="313"/>
      <c r="R18" s="318"/>
    </row>
    <row r="19" spans="1:18" ht="15" hidden="1" customHeight="1" x14ac:dyDescent="0.25">
      <c r="A19" s="310" t="s">
        <v>264</v>
      </c>
      <c r="B19" s="315">
        <v>14</v>
      </c>
      <c r="C19" s="311">
        <v>14</v>
      </c>
      <c r="D19" s="314">
        <f t="shared" si="0"/>
        <v>0</v>
      </c>
      <c r="E19" s="311">
        <v>14</v>
      </c>
      <c r="F19" s="314">
        <f t="shared" si="1"/>
        <v>0</v>
      </c>
      <c r="G19" s="311">
        <v>14</v>
      </c>
      <c r="H19" s="314">
        <f t="shared" si="2"/>
        <v>0</v>
      </c>
      <c r="I19" s="313">
        <f t="shared" si="3"/>
        <v>42</v>
      </c>
      <c r="J19" s="318">
        <f t="shared" si="4"/>
        <v>0</v>
      </c>
      <c r="K19" s="311">
        <v>14</v>
      </c>
      <c r="L19" s="314">
        <f t="shared" si="5"/>
        <v>0</v>
      </c>
      <c r="M19" s="311"/>
      <c r="N19" s="314">
        <f t="shared" si="6"/>
        <v>-1</v>
      </c>
      <c r="O19" s="311"/>
      <c r="P19" s="314">
        <f t="shared" si="7"/>
        <v>-1</v>
      </c>
      <c r="Q19" s="313">
        <f>K19+M19+O19</f>
        <v>14</v>
      </c>
      <c r="R19" s="318">
        <f>((Q19/(3*$B19)))-1</f>
        <v>-0.66666666666666674</v>
      </c>
    </row>
    <row r="20" spans="1:18" ht="15.75" hidden="1" customHeight="1" thickBot="1" x14ac:dyDescent="0.25">
      <c r="A20" s="783" t="s">
        <v>283</v>
      </c>
      <c r="B20" s="315">
        <v>14</v>
      </c>
      <c r="C20" s="311">
        <v>13</v>
      </c>
      <c r="D20" s="314">
        <f t="shared" si="0"/>
        <v>-7.1428571428571397E-2</v>
      </c>
      <c r="E20" s="311">
        <v>14</v>
      </c>
      <c r="F20" s="314">
        <f t="shared" si="1"/>
        <v>0</v>
      </c>
      <c r="G20" s="311">
        <v>14</v>
      </c>
      <c r="H20" s="314">
        <f t="shared" si="2"/>
        <v>0</v>
      </c>
      <c r="I20" s="313">
        <f t="shared" si="3"/>
        <v>41</v>
      </c>
      <c r="J20" s="318">
        <f t="shared" si="4"/>
        <v>-2.3809523809523836E-2</v>
      </c>
      <c r="K20" s="311">
        <v>14</v>
      </c>
      <c r="L20" s="314">
        <f t="shared" si="5"/>
        <v>0</v>
      </c>
      <c r="M20" s="311"/>
      <c r="N20" s="314">
        <f t="shared" si="6"/>
        <v>-1</v>
      </c>
      <c r="O20" s="311"/>
      <c r="P20" s="314">
        <f t="shared" si="7"/>
        <v>-1</v>
      </c>
      <c r="Q20" s="313">
        <f>K20+M20+O20</f>
        <v>14</v>
      </c>
      <c r="R20" s="318">
        <f>((Q20/(3*$B20)))-1</f>
        <v>-0.66666666666666674</v>
      </c>
    </row>
    <row r="21" spans="1:18" ht="15.75" hidden="1" customHeight="1" thickBot="1" x14ac:dyDescent="0.3">
      <c r="A21" s="50" t="s">
        <v>2</v>
      </c>
      <c r="B21" s="52">
        <f>SUM(B14:B20)</f>
        <v>100</v>
      </c>
      <c r="C21" s="54">
        <f>SUM(C14:C20)</f>
        <v>92</v>
      </c>
      <c r="D21" s="59">
        <f t="shared" si="0"/>
        <v>-7.999999999999996E-2</v>
      </c>
      <c r="E21" s="54">
        <f>SUM(E14:E20)</f>
        <v>97</v>
      </c>
      <c r="F21" s="59">
        <f t="shared" si="1"/>
        <v>-3.0000000000000027E-2</v>
      </c>
      <c r="G21" s="54">
        <f>SUM(G14:G20)</f>
        <v>92</v>
      </c>
      <c r="H21" s="59">
        <f t="shared" si="2"/>
        <v>-7.999999999999996E-2</v>
      </c>
      <c r="I21" s="53">
        <f t="shared" si="3"/>
        <v>281</v>
      </c>
      <c r="J21" s="300">
        <f t="shared" si="4"/>
        <v>-6.3333333333333353E-2</v>
      </c>
      <c r="K21" s="54">
        <f>SUM(K14:K20)</f>
        <v>94</v>
      </c>
      <c r="L21" s="59">
        <f t="shared" si="5"/>
        <v>-6.0000000000000053E-2</v>
      </c>
      <c r="M21" s="54">
        <f>SUM(M14:M20)</f>
        <v>0</v>
      </c>
      <c r="N21" s="59">
        <f t="shared" si="6"/>
        <v>-1</v>
      </c>
      <c r="O21" s="54">
        <f>SUM(O14:O20)</f>
        <v>0</v>
      </c>
      <c r="P21" s="59">
        <f t="shared" si="7"/>
        <v>-1</v>
      </c>
      <c r="Q21" s="53">
        <f>K21+M21+O21</f>
        <v>94</v>
      </c>
      <c r="R21" s="300">
        <f>((Q21/(3*$B21)))-1</f>
        <v>-0.68666666666666665</v>
      </c>
    </row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mergeCells count="4">
    <mergeCell ref="A12:R12"/>
    <mergeCell ref="A2:R2"/>
    <mergeCell ref="A3:R3"/>
    <mergeCell ref="A5:R5"/>
  </mergeCells>
  <pageMargins left="0.23622047244094491" right="0.23622047244094491" top="0.47244094488188981" bottom="0.74803149606299213" header="0.31496062992125984" footer="0.31496062992125984"/>
  <pageSetup paperSize="9" scale="82" orientation="landscape" r:id="rId1"/>
  <headerFooter>
    <oddFooter>&amp;L&amp;10Fonte: Sistema WEBSAASS / SMS&amp;R&amp;10pag.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2:R2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41.5703125" customWidth="1"/>
    <col min="3" max="3" width="7" customWidth="1"/>
    <col min="4" max="4" width="8.28515625" customWidth="1"/>
    <col min="5" max="5" width="7" customWidth="1"/>
    <col min="6" max="6" width="8.28515625" customWidth="1"/>
    <col min="7" max="7" width="7" customWidth="1"/>
    <col min="8" max="8" width="8.28515625" customWidth="1"/>
    <col min="9" max="9" width="10.28515625" customWidth="1"/>
    <col min="11" max="11" width="7" customWidth="1"/>
    <col min="12" max="12" width="8.28515625" customWidth="1"/>
    <col min="13" max="13" width="7" customWidth="1"/>
    <col min="14" max="14" width="8.28515625" customWidth="1"/>
    <col min="15" max="15" width="7" customWidth="1"/>
    <col min="16" max="16" width="8.28515625" customWidth="1"/>
    <col min="17" max="17" width="9.85546875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tr">
        <f>'UBS E NASF Malta Cardoso 1° SEM'!A3</f>
        <v>OSS/SPDM – Associação Paulista para o Desenvolvimento da Medicina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366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66" t="s">
        <v>8</v>
      </c>
      <c r="B6" s="67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41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68" t="s">
        <v>222</v>
      </c>
      <c r="B7" s="811">
        <v>100</v>
      </c>
      <c r="C7" s="819">
        <v>100</v>
      </c>
      <c r="D7" s="813">
        <f>((C7/$B7))-1</f>
        <v>0</v>
      </c>
      <c r="E7" s="819">
        <v>101</v>
      </c>
      <c r="F7" s="813">
        <f>((E7/$B7))-1</f>
        <v>1.0000000000000009E-2</v>
      </c>
      <c r="G7" s="819">
        <v>100</v>
      </c>
      <c r="H7" s="813">
        <f>((G7/$B7))-1</f>
        <v>0</v>
      </c>
      <c r="I7" s="821">
        <f t="shared" ref="I7:I12" si="0">C7+E7+G7</f>
        <v>301</v>
      </c>
      <c r="J7" s="823">
        <f>((I7/(3*$B7)))-1</f>
        <v>3.3333333333334103E-3</v>
      </c>
      <c r="K7" s="825">
        <v>101</v>
      </c>
      <c r="L7" s="813">
        <f>((K7/$B7))-1</f>
        <v>1.0000000000000009E-2</v>
      </c>
      <c r="M7" s="819">
        <v>100</v>
      </c>
      <c r="N7" s="813">
        <f>((M7/$B7))-1</f>
        <v>0</v>
      </c>
      <c r="O7" s="819">
        <v>110</v>
      </c>
      <c r="P7" s="813">
        <f>((O7/$B7))-1</f>
        <v>0.10000000000000009</v>
      </c>
      <c r="Q7" s="815">
        <f t="shared" ref="Q7:Q12" si="1">K7+M7+O7</f>
        <v>311</v>
      </c>
      <c r="R7" s="817">
        <f>((Q7/(3*$B7)))-1</f>
        <v>3.6666666666666625E-2</v>
      </c>
    </row>
    <row r="8" spans="1:18" x14ac:dyDescent="0.25">
      <c r="A8" s="68" t="s">
        <v>223</v>
      </c>
      <c r="B8" s="812"/>
      <c r="C8" s="820"/>
      <c r="D8" s="814"/>
      <c r="E8" s="820"/>
      <c r="F8" s="814"/>
      <c r="G8" s="820"/>
      <c r="H8" s="814"/>
      <c r="I8" s="822"/>
      <c r="J8" s="823"/>
      <c r="K8" s="826"/>
      <c r="L8" s="814"/>
      <c r="M8" s="820"/>
      <c r="N8" s="814"/>
      <c r="O8" s="820"/>
      <c r="P8" s="814"/>
      <c r="Q8" s="816"/>
      <c r="R8" s="818"/>
    </row>
    <row r="9" spans="1:18" ht="16.5" customHeight="1" x14ac:dyDescent="0.25">
      <c r="A9" s="410" t="s">
        <v>230</v>
      </c>
      <c r="B9" s="812"/>
      <c r="C9" s="820"/>
      <c r="D9" s="814"/>
      <c r="E9" s="820"/>
      <c r="F9" s="814"/>
      <c r="G9" s="820"/>
      <c r="H9" s="814"/>
      <c r="I9" s="822"/>
      <c r="J9" s="823"/>
      <c r="K9" s="826"/>
      <c r="L9" s="814"/>
      <c r="M9" s="820"/>
      <c r="N9" s="814"/>
      <c r="O9" s="820"/>
      <c r="P9" s="814"/>
      <c r="Q9" s="816"/>
      <c r="R9" s="818"/>
    </row>
    <row r="10" spans="1:18" x14ac:dyDescent="0.25">
      <c r="A10" s="69" t="s">
        <v>224</v>
      </c>
      <c r="B10" s="812"/>
      <c r="C10" s="820"/>
      <c r="D10" s="814"/>
      <c r="E10" s="820"/>
      <c r="F10" s="814"/>
      <c r="G10" s="820"/>
      <c r="H10" s="814"/>
      <c r="I10" s="822"/>
      <c r="J10" s="823"/>
      <c r="K10" s="826"/>
      <c r="L10" s="814"/>
      <c r="M10" s="820"/>
      <c r="N10" s="814"/>
      <c r="O10" s="820"/>
      <c r="P10" s="814"/>
      <c r="Q10" s="816"/>
      <c r="R10" s="818"/>
    </row>
    <row r="11" spans="1:18" ht="15.75" thickBot="1" x14ac:dyDescent="0.3">
      <c r="A11" s="415" t="s">
        <v>225</v>
      </c>
      <c r="B11" s="812"/>
      <c r="C11" s="820"/>
      <c r="D11" s="814"/>
      <c r="E11" s="820"/>
      <c r="F11" s="814"/>
      <c r="G11" s="820"/>
      <c r="H11" s="814"/>
      <c r="I11" s="822"/>
      <c r="J11" s="824"/>
      <c r="K11" s="826"/>
      <c r="L11" s="814"/>
      <c r="M11" s="820"/>
      <c r="N11" s="814"/>
      <c r="O11" s="820"/>
      <c r="P11" s="814"/>
      <c r="Q11" s="816"/>
      <c r="R11" s="818"/>
    </row>
    <row r="12" spans="1:18" ht="15.75" thickBot="1" x14ac:dyDescent="0.3">
      <c r="A12" s="50" t="s">
        <v>2</v>
      </c>
      <c r="B12" s="52">
        <f>SUM(B7:B11)</f>
        <v>100</v>
      </c>
      <c r="C12" s="54">
        <f>SUM(C7:C11)</f>
        <v>100</v>
      </c>
      <c r="D12" s="59">
        <f t="shared" ref="D12" si="2">((C12/$B12))-1</f>
        <v>0</v>
      </c>
      <c r="E12" s="54">
        <f>SUM(E7:E11)</f>
        <v>101</v>
      </c>
      <c r="F12" s="59">
        <f>((E12/$B12))-1</f>
        <v>1.0000000000000009E-2</v>
      </c>
      <c r="G12" s="54">
        <f>SUM(G7:G11)</f>
        <v>100</v>
      </c>
      <c r="H12" s="59">
        <f t="shared" ref="H12" si="3">((G12/$B12))-1</f>
        <v>0</v>
      </c>
      <c r="I12" s="53">
        <f t="shared" si="0"/>
        <v>301</v>
      </c>
      <c r="J12" s="60">
        <f t="shared" ref="J12" si="4">((I12/(3*$B12)))-1</f>
        <v>3.3333333333334103E-3</v>
      </c>
      <c r="K12" s="54">
        <f>SUM(K7:K11)</f>
        <v>101</v>
      </c>
      <c r="L12" s="59">
        <f>((K12/$B12))-1</f>
        <v>1.0000000000000009E-2</v>
      </c>
      <c r="M12" s="54">
        <f>SUM(M7:M11)</f>
        <v>100</v>
      </c>
      <c r="N12" s="59">
        <f>((M12/$B12))-1</f>
        <v>0</v>
      </c>
      <c r="O12" s="54">
        <f>SUM(O7:O11)</f>
        <v>110</v>
      </c>
      <c r="P12" s="59">
        <f t="shared" ref="P12" si="5">((O12/$B12))-1</f>
        <v>0.10000000000000009</v>
      </c>
      <c r="Q12" s="53">
        <f t="shared" si="1"/>
        <v>311</v>
      </c>
      <c r="R12" s="398">
        <f t="shared" ref="R12" si="6">((Q12/(3*$B12)))-1</f>
        <v>3.6666666666666625E-2</v>
      </c>
    </row>
    <row r="14" spans="1:18" ht="15.75" x14ac:dyDescent="0.25">
      <c r="A14" s="801" t="s">
        <v>367</v>
      </c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</row>
    <row r="15" spans="1:18" ht="24.75" thickBot="1" x14ac:dyDescent="0.3">
      <c r="A15" s="66" t="s">
        <v>8</v>
      </c>
      <c r="B15" s="67" t="s">
        <v>9</v>
      </c>
      <c r="C15" s="122" t="str">
        <f t="shared" ref="C15:R15" si="7">C6</f>
        <v>JAN</v>
      </c>
      <c r="D15" s="123" t="str">
        <f t="shared" si="7"/>
        <v>%</v>
      </c>
      <c r="E15" s="122" t="str">
        <f t="shared" si="7"/>
        <v>FEV</v>
      </c>
      <c r="F15" s="123" t="str">
        <f t="shared" si="7"/>
        <v>%</v>
      </c>
      <c r="G15" s="122" t="str">
        <f t="shared" si="7"/>
        <v>MAR</v>
      </c>
      <c r="H15" s="123" t="str">
        <f t="shared" si="7"/>
        <v>%</v>
      </c>
      <c r="I15" s="352" t="str">
        <f t="shared" si="7"/>
        <v>Trimestre</v>
      </c>
      <c r="J15" s="352" t="str">
        <f t="shared" si="7"/>
        <v>%</v>
      </c>
      <c r="K15" s="122" t="str">
        <f t="shared" si="7"/>
        <v>ABR</v>
      </c>
      <c r="L15" s="123" t="str">
        <f t="shared" si="7"/>
        <v>%</v>
      </c>
      <c r="M15" s="122" t="str">
        <f t="shared" si="7"/>
        <v>MAI</v>
      </c>
      <c r="N15" s="123" t="str">
        <f t="shared" si="7"/>
        <v>%</v>
      </c>
      <c r="O15" s="122" t="str">
        <f t="shared" si="7"/>
        <v>JUN</v>
      </c>
      <c r="P15" s="123" t="str">
        <f t="shared" si="7"/>
        <v>%</v>
      </c>
      <c r="Q15" s="124" t="str">
        <f t="shared" si="7"/>
        <v>Trimestre</v>
      </c>
      <c r="R15" s="124" t="str">
        <f t="shared" si="7"/>
        <v>%</v>
      </c>
    </row>
    <row r="16" spans="1:18" ht="15.75" thickTop="1" x14ac:dyDescent="0.25">
      <c r="A16" s="348" t="s">
        <v>145</v>
      </c>
      <c r="B16" s="315">
        <v>1</v>
      </c>
      <c r="C16" s="350">
        <v>1</v>
      </c>
      <c r="D16" s="411">
        <f>((C16/$B16))-1</f>
        <v>0</v>
      </c>
      <c r="E16" s="204">
        <v>1</v>
      </c>
      <c r="F16" s="411">
        <f>((E16/$B16))-1</f>
        <v>0</v>
      </c>
      <c r="G16" s="204">
        <v>1</v>
      </c>
      <c r="H16" s="411">
        <f>((G16/$B16))-1</f>
        <v>0</v>
      </c>
      <c r="I16" s="417">
        <f>C16+E16+G16</f>
        <v>3</v>
      </c>
      <c r="J16" s="418">
        <f>((I16/(3*$B16)))-1</f>
        <v>0</v>
      </c>
      <c r="K16" s="350">
        <v>0</v>
      </c>
      <c r="L16" s="411">
        <f>((K16/$B16))-1</f>
        <v>-1</v>
      </c>
      <c r="M16" s="204">
        <v>0</v>
      </c>
      <c r="N16" s="411">
        <f>((M16/$B16))-1</f>
        <v>-1</v>
      </c>
      <c r="O16" s="204">
        <v>0</v>
      </c>
      <c r="P16" s="411">
        <f>((O16/$B16))-1</f>
        <v>-1</v>
      </c>
      <c r="Q16" s="417">
        <f>K16+M16+O16</f>
        <v>0</v>
      </c>
      <c r="R16" s="418">
        <f>((Q16/(3*$B16)))-1</f>
        <v>-1</v>
      </c>
    </row>
    <row r="17" spans="1:18" x14ac:dyDescent="0.25">
      <c r="A17" s="348" t="s">
        <v>226</v>
      </c>
      <c r="B17" s="315">
        <v>1</v>
      </c>
      <c r="C17" s="351">
        <v>1</v>
      </c>
      <c r="D17" s="412">
        <f t="shared" ref="D17:F20" si="8">((C17/$B17))-1</f>
        <v>0</v>
      </c>
      <c r="E17" s="295">
        <v>1</v>
      </c>
      <c r="F17" s="412">
        <f t="shared" si="8"/>
        <v>0</v>
      </c>
      <c r="G17" s="295">
        <v>1</v>
      </c>
      <c r="H17" s="412">
        <f t="shared" ref="H17" si="9">((G17/$B17))-1</f>
        <v>0</v>
      </c>
      <c r="I17" s="313">
        <f>C17+E17+G17</f>
        <v>3</v>
      </c>
      <c r="J17" s="416">
        <f>((I17/(3*$B17)))-1</f>
        <v>0</v>
      </c>
      <c r="K17" s="351">
        <v>1</v>
      </c>
      <c r="L17" s="412">
        <f t="shared" ref="L17" si="10">((K17/$B17))-1</f>
        <v>0</v>
      </c>
      <c r="M17" s="295">
        <v>1</v>
      </c>
      <c r="N17" s="412">
        <f t="shared" ref="N17" si="11">((M17/$B17))-1</f>
        <v>0</v>
      </c>
      <c r="O17" s="295">
        <v>1</v>
      </c>
      <c r="P17" s="412">
        <f t="shared" ref="P17" si="12">((O17/$B17))-1</f>
        <v>0</v>
      </c>
      <c r="Q17" s="313">
        <f>K17+M17+O17</f>
        <v>3</v>
      </c>
      <c r="R17" s="416">
        <f>((Q17/(3*$B17)))-1</f>
        <v>0</v>
      </c>
    </row>
    <row r="18" spans="1:18" x14ac:dyDescent="0.25">
      <c r="A18" s="348" t="s">
        <v>227</v>
      </c>
      <c r="B18" s="315">
        <v>2</v>
      </c>
      <c r="C18" s="351">
        <v>2</v>
      </c>
      <c r="D18" s="412">
        <f t="shared" si="8"/>
        <v>0</v>
      </c>
      <c r="E18" s="295">
        <v>2</v>
      </c>
      <c r="F18" s="412">
        <f t="shared" si="8"/>
        <v>0</v>
      </c>
      <c r="G18" s="295">
        <v>2</v>
      </c>
      <c r="H18" s="412">
        <f t="shared" ref="H18" si="13">((G18/$B18))-1</f>
        <v>0</v>
      </c>
      <c r="I18" s="313">
        <f>C18+E18+G18</f>
        <v>6</v>
      </c>
      <c r="J18" s="416">
        <f>((I18/(3*$B18)))-1</f>
        <v>0</v>
      </c>
      <c r="K18" s="351">
        <v>2</v>
      </c>
      <c r="L18" s="412">
        <f t="shared" ref="L18" si="14">((K18/$B18))-1</f>
        <v>0</v>
      </c>
      <c r="M18" s="295">
        <v>2</v>
      </c>
      <c r="N18" s="412">
        <f t="shared" ref="N18" si="15">((M18/$B18))-1</f>
        <v>0</v>
      </c>
      <c r="O18" s="295">
        <v>2</v>
      </c>
      <c r="P18" s="412">
        <f t="shared" ref="P18" si="16">((O18/$B18))-1</f>
        <v>0</v>
      </c>
      <c r="Q18" s="313">
        <f>K18+M18+O18</f>
        <v>6</v>
      </c>
      <c r="R18" s="416">
        <f>((Q18/(3*$B18)))-1</f>
        <v>0</v>
      </c>
    </row>
    <row r="19" spans="1:18" x14ac:dyDescent="0.25">
      <c r="A19" s="328" t="s">
        <v>228</v>
      </c>
      <c r="B19" s="315">
        <v>10</v>
      </c>
      <c r="C19" s="351">
        <v>9</v>
      </c>
      <c r="D19" s="412">
        <f t="shared" si="8"/>
        <v>-9.9999999999999978E-2</v>
      </c>
      <c r="E19" s="295">
        <v>9</v>
      </c>
      <c r="F19" s="412">
        <f t="shared" si="8"/>
        <v>-9.9999999999999978E-2</v>
      </c>
      <c r="G19" s="295">
        <v>10</v>
      </c>
      <c r="H19" s="412">
        <f t="shared" ref="H19" si="17">((G19/$B19))-1</f>
        <v>0</v>
      </c>
      <c r="I19" s="313">
        <f>C19+E19+G19</f>
        <v>28</v>
      </c>
      <c r="J19" s="416">
        <f>((I19/(3*$B19)))-1</f>
        <v>-6.6666666666666652E-2</v>
      </c>
      <c r="K19" s="351">
        <v>10</v>
      </c>
      <c r="L19" s="412">
        <f t="shared" ref="L19" si="18">((K19/$B19))-1</f>
        <v>0</v>
      </c>
      <c r="M19" s="295">
        <v>10</v>
      </c>
      <c r="N19" s="412">
        <f t="shared" ref="N19" si="19">((M19/$B19))-1</f>
        <v>0</v>
      </c>
      <c r="O19" s="295">
        <v>10</v>
      </c>
      <c r="P19" s="412">
        <f t="shared" ref="P19" si="20">((O19/$B19))-1</f>
        <v>0</v>
      </c>
      <c r="Q19" s="313">
        <f>K19+M19+O19</f>
        <v>30</v>
      </c>
      <c r="R19" s="416">
        <f>((Q19/(3*$B19)))-1</f>
        <v>0</v>
      </c>
    </row>
    <row r="20" spans="1:18" ht="15.75" thickBot="1" x14ac:dyDescent="0.3">
      <c r="A20" s="349" t="s">
        <v>229</v>
      </c>
      <c r="B20" s="315">
        <v>1</v>
      </c>
      <c r="C20" s="351">
        <v>1</v>
      </c>
      <c r="D20" s="413">
        <f t="shared" si="8"/>
        <v>0</v>
      </c>
      <c r="E20" s="295">
        <v>1</v>
      </c>
      <c r="F20" s="413">
        <f t="shared" si="8"/>
        <v>0</v>
      </c>
      <c r="G20" s="295">
        <v>1</v>
      </c>
      <c r="H20" s="413">
        <f t="shared" ref="H20" si="21">((G20/$B20))-1</f>
        <v>0</v>
      </c>
      <c r="I20" s="419">
        <f>C20+E20+G20</f>
        <v>3</v>
      </c>
      <c r="J20" s="420">
        <f>((I20/(3*$B20)))-1</f>
        <v>0</v>
      </c>
      <c r="K20" s="351">
        <v>1</v>
      </c>
      <c r="L20" s="413">
        <f t="shared" ref="L20" si="22">((K20/$B20))-1</f>
        <v>0</v>
      </c>
      <c r="M20" s="295">
        <v>1</v>
      </c>
      <c r="N20" s="413">
        <f t="shared" ref="N20" si="23">((M20/$B20))-1</f>
        <v>0</v>
      </c>
      <c r="O20" s="295">
        <v>1</v>
      </c>
      <c r="P20" s="413">
        <f t="shared" ref="P20" si="24">((O20/$B20))-1</f>
        <v>0</v>
      </c>
      <c r="Q20" s="419">
        <f>K20+M20+O20</f>
        <v>3</v>
      </c>
      <c r="R20" s="420">
        <f>((Q20/(3*$B20)))-1</f>
        <v>0</v>
      </c>
    </row>
    <row r="21" spans="1:18" ht="15.75" thickBot="1" x14ac:dyDescent="0.3">
      <c r="A21" s="50" t="s">
        <v>2</v>
      </c>
      <c r="B21" s="57">
        <f>SUM(B16:B20)</f>
        <v>15</v>
      </c>
      <c r="C21" s="54">
        <f>SUM(C16:C20)</f>
        <v>14</v>
      </c>
      <c r="D21" s="59">
        <f t="shared" ref="D21" si="25">((C21/$B21))-1</f>
        <v>-6.6666666666666652E-2</v>
      </c>
      <c r="E21" s="54">
        <f>SUM(E16:E20)</f>
        <v>14</v>
      </c>
      <c r="F21" s="59">
        <f>((E21/$B21))-1</f>
        <v>-6.6666666666666652E-2</v>
      </c>
      <c r="G21" s="54">
        <f>SUM(G16:G20)</f>
        <v>15</v>
      </c>
      <c r="H21" s="59">
        <f t="shared" ref="H21" si="26">((G21/$B21))-1</f>
        <v>0</v>
      </c>
      <c r="I21" s="306">
        <f t="shared" ref="I21" si="27">C21+E21+G21</f>
        <v>43</v>
      </c>
      <c r="J21" s="300">
        <f t="shared" ref="J21" si="28">((I21/(3*$B21)))-1</f>
        <v>-4.4444444444444398E-2</v>
      </c>
      <c r="K21" s="54">
        <f>SUM(K16:K20)</f>
        <v>14</v>
      </c>
      <c r="L21" s="59">
        <f>((K21/$B21))-1</f>
        <v>-6.6666666666666652E-2</v>
      </c>
      <c r="M21" s="54">
        <f>SUM(M16:M20)</f>
        <v>14</v>
      </c>
      <c r="N21" s="59">
        <f>((M21/$B21))-1</f>
        <v>-6.6666666666666652E-2</v>
      </c>
      <c r="O21" s="54">
        <f>SUM(O16:O20)</f>
        <v>14</v>
      </c>
      <c r="P21" s="59">
        <f t="shared" ref="P21" si="29">((O21/$B21))-1</f>
        <v>-6.6666666666666652E-2</v>
      </c>
      <c r="Q21" s="53">
        <f t="shared" ref="Q21" si="30">K21+M21+O21</f>
        <v>42</v>
      </c>
      <c r="R21" s="300">
        <f t="shared" ref="R21" si="31">((Q21/(3*$B21)))-1</f>
        <v>-6.6666666666666652E-2</v>
      </c>
    </row>
  </sheetData>
  <mergeCells count="21">
    <mergeCell ref="A14:R14"/>
    <mergeCell ref="C7:C11"/>
    <mergeCell ref="E7:E11"/>
    <mergeCell ref="G7:G11"/>
    <mergeCell ref="K7:K11"/>
    <mergeCell ref="M7:M11"/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  <mergeCell ref="R7:R11"/>
    <mergeCell ref="O7:O11"/>
    <mergeCell ref="I7:I11"/>
    <mergeCell ref="J7:J11"/>
    <mergeCell ref="A5:R5"/>
  </mergeCells>
  <pageMargins left="0.23622047244094491" right="0.23622047244094491" top="0.47244094488188981" bottom="0.74803149606299213" header="0.31496062992125984" footer="0.31496062992125984"/>
  <pageSetup paperSize="9" scale="79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6B0D-FF7A-42B3-B4C8-EC8DE6E8AD02}">
  <sheetPr>
    <tabColor rgb="FFFFC00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41.5703125" customWidth="1"/>
    <col min="2" max="2" width="9" bestFit="1" customWidth="1"/>
    <col min="3" max="3" width="7" customWidth="1"/>
    <col min="4" max="4" width="8.28515625" customWidth="1"/>
    <col min="5" max="5" width="7" customWidth="1"/>
    <col min="6" max="6" width="8.28515625" customWidth="1"/>
    <col min="7" max="7" width="7" customWidth="1"/>
    <col min="8" max="8" width="8.28515625" customWidth="1"/>
    <col min="9" max="9" width="10.28515625" customWidth="1"/>
    <col min="10" max="10" width="9" bestFit="1" customWidth="1"/>
    <col min="11" max="11" width="7" customWidth="1"/>
    <col min="12" max="12" width="8.28515625" customWidth="1"/>
    <col min="13" max="13" width="7" customWidth="1"/>
    <col min="14" max="14" width="8.28515625" customWidth="1"/>
    <col min="15" max="15" width="7" customWidth="1"/>
    <col min="16" max="16" width="8.28515625" customWidth="1"/>
    <col min="17" max="17" width="9.85546875" customWidth="1"/>
    <col min="18" max="18" width="10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tr">
        <f>'UBS E NASF Malta Cardoso 2º SEM'!A3</f>
        <v>OSS/SPDM – Associação Paulista para o Desenvolvimento da Medicina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366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41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222</v>
      </c>
      <c r="B7" s="811">
        <v>100</v>
      </c>
      <c r="C7" s="819">
        <v>100</v>
      </c>
      <c r="D7" s="813">
        <f>((C7/$B7))-1</f>
        <v>0</v>
      </c>
      <c r="E7" s="819">
        <v>102</v>
      </c>
      <c r="F7" s="813">
        <f>((E7/$B7))-1</f>
        <v>2.0000000000000018E-2</v>
      </c>
      <c r="G7" s="819">
        <v>103</v>
      </c>
      <c r="H7" s="813">
        <f>((G7/$B7))-1</f>
        <v>3.0000000000000027E-2</v>
      </c>
      <c r="I7" s="821">
        <f>C7+E7+G7</f>
        <v>305</v>
      </c>
      <c r="J7" s="823">
        <f>((I7/(3*$B7)))-1</f>
        <v>1.6666666666666607E-2</v>
      </c>
      <c r="K7" s="825">
        <v>103</v>
      </c>
      <c r="L7" s="813">
        <f>((K7/$B7))-1</f>
        <v>3.0000000000000027E-2</v>
      </c>
      <c r="M7" s="819">
        <v>103</v>
      </c>
      <c r="N7" s="813">
        <f>((M7/$B7))-1</f>
        <v>3.0000000000000027E-2</v>
      </c>
      <c r="O7" s="819">
        <v>109</v>
      </c>
      <c r="P7" s="813">
        <f>((O7/$B7))-1</f>
        <v>9.000000000000008E-2</v>
      </c>
      <c r="Q7" s="815">
        <f>K7+M7+O7</f>
        <v>315</v>
      </c>
      <c r="R7" s="817">
        <f>((Q7/(3*$B7)))-1</f>
        <v>5.0000000000000044E-2</v>
      </c>
    </row>
    <row r="8" spans="1:18" x14ac:dyDescent="0.25">
      <c r="A8" s="117" t="s">
        <v>223</v>
      </c>
      <c r="B8" s="812"/>
      <c r="C8" s="820"/>
      <c r="D8" s="814"/>
      <c r="E8" s="820"/>
      <c r="F8" s="814"/>
      <c r="G8" s="820"/>
      <c r="H8" s="814"/>
      <c r="I8" s="822"/>
      <c r="J8" s="823"/>
      <c r="K8" s="826"/>
      <c r="L8" s="814"/>
      <c r="M8" s="820"/>
      <c r="N8" s="814"/>
      <c r="O8" s="820"/>
      <c r="P8" s="814"/>
      <c r="Q8" s="816"/>
      <c r="R8" s="818"/>
    </row>
    <row r="9" spans="1:18" ht="16.5" customHeight="1" x14ac:dyDescent="0.25">
      <c r="A9" s="787" t="s">
        <v>230</v>
      </c>
      <c r="B9" s="812"/>
      <c r="C9" s="820"/>
      <c r="D9" s="814"/>
      <c r="E9" s="820"/>
      <c r="F9" s="814"/>
      <c r="G9" s="820"/>
      <c r="H9" s="814"/>
      <c r="I9" s="822"/>
      <c r="J9" s="823"/>
      <c r="K9" s="826"/>
      <c r="L9" s="814"/>
      <c r="M9" s="820"/>
      <c r="N9" s="814"/>
      <c r="O9" s="820"/>
      <c r="P9" s="814"/>
      <c r="Q9" s="816"/>
      <c r="R9" s="818"/>
    </row>
    <row r="10" spans="1:18" x14ac:dyDescent="0.25">
      <c r="A10" s="384" t="s">
        <v>224</v>
      </c>
      <c r="B10" s="812"/>
      <c r="C10" s="820"/>
      <c r="D10" s="814"/>
      <c r="E10" s="820"/>
      <c r="F10" s="814"/>
      <c r="G10" s="820"/>
      <c r="H10" s="814"/>
      <c r="I10" s="822"/>
      <c r="J10" s="823"/>
      <c r="K10" s="826"/>
      <c r="L10" s="814"/>
      <c r="M10" s="820"/>
      <c r="N10" s="814"/>
      <c r="O10" s="820"/>
      <c r="P10" s="814"/>
      <c r="Q10" s="816"/>
      <c r="R10" s="818"/>
    </row>
    <row r="11" spans="1:18" ht="15.75" thickBot="1" x14ac:dyDescent="0.3">
      <c r="A11" s="786" t="s">
        <v>225</v>
      </c>
      <c r="B11" s="812"/>
      <c r="C11" s="820"/>
      <c r="D11" s="814"/>
      <c r="E11" s="820"/>
      <c r="F11" s="814"/>
      <c r="G11" s="820"/>
      <c r="H11" s="814"/>
      <c r="I11" s="822"/>
      <c r="J11" s="824"/>
      <c r="K11" s="826"/>
      <c r="L11" s="814"/>
      <c r="M11" s="820"/>
      <c r="N11" s="814"/>
      <c r="O11" s="820"/>
      <c r="P11" s="814"/>
      <c r="Q11" s="816"/>
      <c r="R11" s="818"/>
    </row>
    <row r="12" spans="1:18" ht="15.75" thickBot="1" x14ac:dyDescent="0.3">
      <c r="A12" s="50" t="s">
        <v>2</v>
      </c>
      <c r="B12" s="52">
        <f>SUM(B7:B11)</f>
        <v>100</v>
      </c>
      <c r="C12" s="54">
        <f>SUM(C7:C11)</f>
        <v>100</v>
      </c>
      <c r="D12" s="59">
        <f>((C12/$B12))-1</f>
        <v>0</v>
      </c>
      <c r="E12" s="54">
        <f>SUM(E7:E11)</f>
        <v>102</v>
      </c>
      <c r="F12" s="59">
        <f>((E12/$B12))-1</f>
        <v>2.0000000000000018E-2</v>
      </c>
      <c r="G12" s="54">
        <f>SUM(G7:G11)</f>
        <v>103</v>
      </c>
      <c r="H12" s="59">
        <f>((G12/$B12))-1</f>
        <v>3.0000000000000027E-2</v>
      </c>
      <c r="I12" s="53">
        <f>C12+E12+G12</f>
        <v>305</v>
      </c>
      <c r="J12" s="60">
        <f>((I12/(3*$B12)))-1</f>
        <v>1.6666666666666607E-2</v>
      </c>
      <c r="K12" s="54">
        <f>SUM(K7:K11)</f>
        <v>103</v>
      </c>
      <c r="L12" s="59">
        <f>((K12/$B12))-1</f>
        <v>3.0000000000000027E-2</v>
      </c>
      <c r="M12" s="54">
        <f>SUM(M7:M11)</f>
        <v>103</v>
      </c>
      <c r="N12" s="59">
        <f>((M12/$B12))-1</f>
        <v>3.0000000000000027E-2</v>
      </c>
      <c r="O12" s="54">
        <f>SUM(O7:O11)</f>
        <v>109</v>
      </c>
      <c r="P12" s="59">
        <f>((O12/$B12))-1</f>
        <v>9.000000000000008E-2</v>
      </c>
      <c r="Q12" s="53">
        <f>K12+M12+O12</f>
        <v>315</v>
      </c>
      <c r="R12" s="398">
        <f>((Q12/(3*$B12)))-1</f>
        <v>5.0000000000000044E-2</v>
      </c>
    </row>
    <row r="13" spans="1:18" hidden="1" x14ac:dyDescent="0.25"/>
    <row r="14" spans="1:18" ht="15.75" hidden="1" customHeight="1" x14ac:dyDescent="0.25">
      <c r="A14" s="803" t="s">
        <v>367</v>
      </c>
      <c r="B14" s="802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</row>
    <row r="15" spans="1:18" ht="24.75" hidden="1" customHeight="1" thickBot="1" x14ac:dyDescent="0.3">
      <c r="A15" s="120" t="s">
        <v>8</v>
      </c>
      <c r="B15" s="121" t="s">
        <v>9</v>
      </c>
      <c r="C15" s="122" t="str">
        <f t="shared" ref="C15:R15" si="0">C6</f>
        <v>JUL</v>
      </c>
      <c r="D15" s="123" t="str">
        <f t="shared" si="0"/>
        <v>%</v>
      </c>
      <c r="E15" s="122" t="str">
        <f t="shared" si="0"/>
        <v>AGO</v>
      </c>
      <c r="F15" s="123" t="str">
        <f t="shared" si="0"/>
        <v>%</v>
      </c>
      <c r="G15" s="122" t="str">
        <f t="shared" si="0"/>
        <v>SET</v>
      </c>
      <c r="H15" s="123" t="str">
        <f t="shared" si="0"/>
        <v>%</v>
      </c>
      <c r="I15" s="414" t="str">
        <f t="shared" si="0"/>
        <v>Trimestre</v>
      </c>
      <c r="J15" s="414" t="str">
        <f t="shared" si="0"/>
        <v>%</v>
      </c>
      <c r="K15" s="122" t="str">
        <f t="shared" si="0"/>
        <v>OUT</v>
      </c>
      <c r="L15" s="123" t="str">
        <f t="shared" si="0"/>
        <v>%</v>
      </c>
      <c r="M15" s="122" t="str">
        <f t="shared" si="0"/>
        <v>NOV</v>
      </c>
      <c r="N15" s="123" t="str">
        <f t="shared" si="0"/>
        <v>%</v>
      </c>
      <c r="O15" s="122" t="str">
        <f t="shared" si="0"/>
        <v>DEZ</v>
      </c>
      <c r="P15" s="123" t="str">
        <f t="shared" si="0"/>
        <v>%</v>
      </c>
      <c r="Q15" s="124" t="str">
        <f t="shared" si="0"/>
        <v>Trimestre</v>
      </c>
      <c r="R15" s="124" t="str">
        <f t="shared" si="0"/>
        <v>%</v>
      </c>
    </row>
    <row r="16" spans="1:18" ht="15.75" hidden="1" customHeight="1" thickTop="1" x14ac:dyDescent="0.25">
      <c r="A16" s="348" t="s">
        <v>145</v>
      </c>
      <c r="B16" s="315">
        <v>1</v>
      </c>
      <c r="C16" s="350">
        <v>0</v>
      </c>
      <c r="D16" s="411">
        <f t="shared" ref="D16:D21" si="1">((C16/$B16))-1</f>
        <v>-1</v>
      </c>
      <c r="E16" s="204">
        <v>1</v>
      </c>
      <c r="F16" s="411">
        <f t="shared" ref="F16:F21" si="2">((E16/$B16))-1</f>
        <v>0</v>
      </c>
      <c r="G16" s="204">
        <v>1</v>
      </c>
      <c r="H16" s="411">
        <f t="shared" ref="H16:H21" si="3">((G16/$B16))-1</f>
        <v>0</v>
      </c>
      <c r="I16" s="417">
        <f t="shared" ref="I16:I21" si="4">C16+E16+G16</f>
        <v>2</v>
      </c>
      <c r="J16" s="418">
        <f t="shared" ref="J16:J21" si="5">((I16/(3*$B16)))-1</f>
        <v>-0.33333333333333337</v>
      </c>
      <c r="K16" s="350">
        <v>1</v>
      </c>
      <c r="L16" s="411">
        <f t="shared" ref="L16:L21" si="6">((K16/$B16))-1</f>
        <v>0</v>
      </c>
      <c r="M16" s="204"/>
      <c r="N16" s="411">
        <f t="shared" ref="N16:N21" si="7">((M16/$B16))-1</f>
        <v>-1</v>
      </c>
      <c r="O16" s="204"/>
      <c r="P16" s="411">
        <f t="shared" ref="P16:P21" si="8">((O16/$B16))-1</f>
        <v>-1</v>
      </c>
      <c r="Q16" s="417">
        <f t="shared" ref="Q16:Q21" si="9">K16+M16+O16</f>
        <v>1</v>
      </c>
      <c r="R16" s="418">
        <f t="shared" ref="R16:R21" si="10">((Q16/(3*$B16)))-1</f>
        <v>-0.66666666666666674</v>
      </c>
    </row>
    <row r="17" spans="1:18" ht="15" hidden="1" customHeight="1" x14ac:dyDescent="0.25">
      <c r="A17" s="348" t="s">
        <v>226</v>
      </c>
      <c r="B17" s="315">
        <v>1</v>
      </c>
      <c r="C17" s="351">
        <v>1</v>
      </c>
      <c r="D17" s="412">
        <f t="shared" si="1"/>
        <v>0</v>
      </c>
      <c r="E17" s="736">
        <v>1</v>
      </c>
      <c r="F17" s="412">
        <f t="shared" si="2"/>
        <v>0</v>
      </c>
      <c r="G17" s="736">
        <v>1</v>
      </c>
      <c r="H17" s="412">
        <f t="shared" si="3"/>
        <v>0</v>
      </c>
      <c r="I17" s="313">
        <f t="shared" si="4"/>
        <v>3</v>
      </c>
      <c r="J17" s="732">
        <f t="shared" si="5"/>
        <v>0</v>
      </c>
      <c r="K17" s="351">
        <v>1</v>
      </c>
      <c r="L17" s="412">
        <f t="shared" si="6"/>
        <v>0</v>
      </c>
      <c r="M17" s="736"/>
      <c r="N17" s="412">
        <f t="shared" si="7"/>
        <v>-1</v>
      </c>
      <c r="O17" s="736"/>
      <c r="P17" s="412">
        <f t="shared" si="8"/>
        <v>-1</v>
      </c>
      <c r="Q17" s="313">
        <f t="shared" si="9"/>
        <v>1</v>
      </c>
      <c r="R17" s="732">
        <f t="shared" si="10"/>
        <v>-0.66666666666666674</v>
      </c>
    </row>
    <row r="18" spans="1:18" ht="15" hidden="1" customHeight="1" x14ac:dyDescent="0.25">
      <c r="A18" s="348" t="s">
        <v>227</v>
      </c>
      <c r="B18" s="315">
        <v>2</v>
      </c>
      <c r="C18" s="351">
        <v>2</v>
      </c>
      <c r="D18" s="412">
        <f t="shared" si="1"/>
        <v>0</v>
      </c>
      <c r="E18" s="736">
        <v>2</v>
      </c>
      <c r="F18" s="412">
        <f t="shared" si="2"/>
        <v>0</v>
      </c>
      <c r="G18" s="736">
        <v>2</v>
      </c>
      <c r="H18" s="412">
        <f t="shared" si="3"/>
        <v>0</v>
      </c>
      <c r="I18" s="313">
        <f t="shared" si="4"/>
        <v>6</v>
      </c>
      <c r="J18" s="732">
        <f t="shared" si="5"/>
        <v>0</v>
      </c>
      <c r="K18" s="351">
        <v>2</v>
      </c>
      <c r="L18" s="412">
        <f t="shared" si="6"/>
        <v>0</v>
      </c>
      <c r="M18" s="736"/>
      <c r="N18" s="412">
        <f t="shared" si="7"/>
        <v>-1</v>
      </c>
      <c r="O18" s="736"/>
      <c r="P18" s="412">
        <f t="shared" si="8"/>
        <v>-1</v>
      </c>
      <c r="Q18" s="313">
        <f t="shared" si="9"/>
        <v>2</v>
      </c>
      <c r="R18" s="732">
        <f t="shared" si="10"/>
        <v>-0.66666666666666674</v>
      </c>
    </row>
    <row r="19" spans="1:18" ht="15" hidden="1" customHeight="1" x14ac:dyDescent="0.25">
      <c r="A19" s="328" t="s">
        <v>228</v>
      </c>
      <c r="B19" s="315">
        <v>10</v>
      </c>
      <c r="C19" s="351">
        <v>10</v>
      </c>
      <c r="D19" s="412">
        <f t="shared" si="1"/>
        <v>0</v>
      </c>
      <c r="E19" s="736">
        <v>10</v>
      </c>
      <c r="F19" s="412">
        <f t="shared" si="2"/>
        <v>0</v>
      </c>
      <c r="G19" s="736">
        <v>10</v>
      </c>
      <c r="H19" s="412">
        <f t="shared" si="3"/>
        <v>0</v>
      </c>
      <c r="I19" s="313">
        <f t="shared" si="4"/>
        <v>30</v>
      </c>
      <c r="J19" s="732">
        <f t="shared" si="5"/>
        <v>0</v>
      </c>
      <c r="K19" s="351">
        <v>9</v>
      </c>
      <c r="L19" s="412">
        <f t="shared" si="6"/>
        <v>-9.9999999999999978E-2</v>
      </c>
      <c r="M19" s="736"/>
      <c r="N19" s="412">
        <f t="shared" si="7"/>
        <v>-1</v>
      </c>
      <c r="O19" s="736"/>
      <c r="P19" s="412">
        <f t="shared" si="8"/>
        <v>-1</v>
      </c>
      <c r="Q19" s="313">
        <f t="shared" si="9"/>
        <v>9</v>
      </c>
      <c r="R19" s="732">
        <f t="shared" si="10"/>
        <v>-0.7</v>
      </c>
    </row>
    <row r="20" spans="1:18" ht="15.75" hidden="1" customHeight="1" thickBot="1" x14ac:dyDescent="0.3">
      <c r="A20" s="349" t="s">
        <v>229</v>
      </c>
      <c r="B20" s="315">
        <v>1</v>
      </c>
      <c r="C20" s="351">
        <v>1</v>
      </c>
      <c r="D20" s="413">
        <f t="shared" si="1"/>
        <v>0</v>
      </c>
      <c r="E20" s="736">
        <v>1</v>
      </c>
      <c r="F20" s="413">
        <f t="shared" si="2"/>
        <v>0</v>
      </c>
      <c r="G20" s="736">
        <v>1</v>
      </c>
      <c r="H20" s="413">
        <f t="shared" si="3"/>
        <v>0</v>
      </c>
      <c r="I20" s="785">
        <f t="shared" si="4"/>
        <v>3</v>
      </c>
      <c r="J20" s="784">
        <f t="shared" si="5"/>
        <v>0</v>
      </c>
      <c r="K20" s="351">
        <v>1</v>
      </c>
      <c r="L20" s="413">
        <f t="shared" si="6"/>
        <v>0</v>
      </c>
      <c r="M20" s="736"/>
      <c r="N20" s="413">
        <f t="shared" si="7"/>
        <v>-1</v>
      </c>
      <c r="O20" s="736"/>
      <c r="P20" s="413">
        <f t="shared" si="8"/>
        <v>-1</v>
      </c>
      <c r="Q20" s="785">
        <f t="shared" si="9"/>
        <v>1</v>
      </c>
      <c r="R20" s="784">
        <f t="shared" si="10"/>
        <v>-0.66666666666666674</v>
      </c>
    </row>
    <row r="21" spans="1:18" ht="15.75" hidden="1" customHeight="1" thickBot="1" x14ac:dyDescent="0.3">
      <c r="A21" s="50" t="s">
        <v>2</v>
      </c>
      <c r="B21" s="57">
        <f>SUM(B16:B20)</f>
        <v>15</v>
      </c>
      <c r="C21" s="54">
        <f>SUM(C16:C20)</f>
        <v>14</v>
      </c>
      <c r="D21" s="59">
        <f t="shared" si="1"/>
        <v>-6.6666666666666652E-2</v>
      </c>
      <c r="E21" s="54">
        <f>SUM(E16:E20)</f>
        <v>15</v>
      </c>
      <c r="F21" s="59">
        <f t="shared" si="2"/>
        <v>0</v>
      </c>
      <c r="G21" s="54">
        <f>SUM(G16:G20)</f>
        <v>15</v>
      </c>
      <c r="H21" s="59">
        <f t="shared" si="3"/>
        <v>0</v>
      </c>
      <c r="I21" s="306">
        <f t="shared" si="4"/>
        <v>44</v>
      </c>
      <c r="J21" s="300">
        <f t="shared" si="5"/>
        <v>-2.2222222222222254E-2</v>
      </c>
      <c r="K21" s="54">
        <f>SUM(K16:K20)</f>
        <v>14</v>
      </c>
      <c r="L21" s="59">
        <f t="shared" si="6"/>
        <v>-6.6666666666666652E-2</v>
      </c>
      <c r="M21" s="54">
        <f>SUM(M16:M20)</f>
        <v>0</v>
      </c>
      <c r="N21" s="59">
        <f t="shared" si="7"/>
        <v>-1</v>
      </c>
      <c r="O21" s="54">
        <f>SUM(O16:O20)</f>
        <v>0</v>
      </c>
      <c r="P21" s="59">
        <f t="shared" si="8"/>
        <v>-1</v>
      </c>
      <c r="Q21" s="53">
        <f t="shared" si="9"/>
        <v>14</v>
      </c>
      <c r="R21" s="300">
        <f t="shared" si="10"/>
        <v>-0.68888888888888888</v>
      </c>
    </row>
    <row r="22" spans="1:18" ht="15" customHeight="1" x14ac:dyDescent="0.25"/>
    <row r="23" spans="1:18" ht="15" customHeight="1" x14ac:dyDescent="0.25"/>
    <row r="24" spans="1:18" ht="15" customHeight="1" x14ac:dyDescent="0.25"/>
    <row r="25" spans="1:18" ht="15" customHeight="1" x14ac:dyDescent="0.25"/>
    <row r="26" spans="1:18" ht="15" customHeight="1" x14ac:dyDescent="0.25"/>
    <row r="27" spans="1:18" ht="15" customHeight="1" x14ac:dyDescent="0.25"/>
    <row r="28" spans="1:18" ht="15" customHeight="1" x14ac:dyDescent="0.25"/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21">
    <mergeCell ref="A14:R14"/>
    <mergeCell ref="C7:C11"/>
    <mergeCell ref="E7:E11"/>
    <mergeCell ref="G7:G11"/>
    <mergeCell ref="K7:K11"/>
    <mergeCell ref="M7:M11"/>
    <mergeCell ref="R7:R11"/>
    <mergeCell ref="O7:O11"/>
    <mergeCell ref="I7:I11"/>
    <mergeCell ref="J7:J11"/>
    <mergeCell ref="A5:R5"/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</mergeCells>
  <pageMargins left="0.23622047244094491" right="0.23622047244094491" top="0.47244094488188981" bottom="0.74803149606299213" header="0.31496062992125984" footer="0.31496062992125984"/>
  <pageSetup paperSize="9" scale="78" orientation="landscape" r:id="rId1"/>
  <headerFooter>
    <oddFooter>&amp;L&amp;10Fonte: Sistema WEBSAASS / SMS&amp;R&amp;10pag.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2:R35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9.28515625" customWidth="1"/>
    <col min="2" max="3" width="9.28515625" bestFit="1" customWidth="1"/>
    <col min="4" max="4" width="11.140625" bestFit="1" customWidth="1"/>
    <col min="5" max="5" width="9.28515625" bestFit="1" customWidth="1"/>
    <col min="6" max="6" width="11.140625" bestFit="1" customWidth="1"/>
    <col min="7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1.140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1.140625" bestFit="1" customWidth="1"/>
    <col min="17" max="17" width="9.28515625" bestFit="1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392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" x14ac:dyDescent="0.25">
      <c r="A6" s="465" t="s">
        <v>8</v>
      </c>
      <c r="B6" s="485" t="s">
        <v>9</v>
      </c>
      <c r="C6" s="465" t="str">
        <f>'UBS Vila Dalva 1° SEM'!C6</f>
        <v>JAN</v>
      </c>
      <c r="D6" s="467" t="str">
        <f>'UBS Vila Dalva 1° SEM'!D6</f>
        <v>%</v>
      </c>
      <c r="E6" s="465" t="str">
        <f>'UBS Vila Dalva 1° SEM'!E6</f>
        <v>FEV</v>
      </c>
      <c r="F6" s="467" t="str">
        <f>'UBS Vila Dalva 1° SEM'!F6</f>
        <v>%</v>
      </c>
      <c r="G6" s="465" t="str">
        <f>'UBS Vila Dalva 1° SEM'!G6</f>
        <v>MAR</v>
      </c>
      <c r="H6" s="467" t="str">
        <f>'UBS Vila Dalva 1° SEM'!H6</f>
        <v>%</v>
      </c>
      <c r="I6" s="468" t="str">
        <f>'UBS Vila Dalva 1° SEM'!I6</f>
        <v>Trimestre</v>
      </c>
      <c r="J6" s="468" t="str">
        <f>'UBS Vila Dalva 1° SEM'!J6</f>
        <v>%</v>
      </c>
      <c r="K6" s="465" t="str">
        <f>'UBS Vila Dalva 1° SEM'!K6</f>
        <v>ABR</v>
      </c>
      <c r="L6" s="467" t="str">
        <f>'UBS Vila Dalva 1° SEM'!L6</f>
        <v>%</v>
      </c>
      <c r="M6" s="465" t="str">
        <f>'UBS Vila Dalva 1° SEM'!M6</f>
        <v>MAI</v>
      </c>
      <c r="N6" s="467" t="str">
        <f>'UBS Vila Dalva 1° SEM'!N6</f>
        <v>%</v>
      </c>
      <c r="O6" s="465" t="str">
        <f>'UBS Vila Dalva 1° SEM'!O6</f>
        <v>JUN</v>
      </c>
      <c r="P6" s="467" t="str">
        <f>'UBS Vila Dalva 1° SEM'!P6</f>
        <v>%</v>
      </c>
      <c r="Q6" s="468" t="str">
        <f>'UBS Vila Dalva 1° SEM'!Q6</f>
        <v>Trimestre</v>
      </c>
      <c r="R6" s="468" t="str">
        <f>'UBS Vila Dalva 1° SEM'!R6</f>
        <v>%</v>
      </c>
    </row>
    <row r="7" spans="1:18" x14ac:dyDescent="0.25">
      <c r="A7" s="310" t="s">
        <v>235</v>
      </c>
      <c r="B7" s="335">
        <v>400</v>
      </c>
      <c r="C7" s="311">
        <v>72</v>
      </c>
      <c r="D7" s="314">
        <f>((C7/$B7))-1</f>
        <v>-0.82000000000000006</v>
      </c>
      <c r="E7" s="311">
        <v>178</v>
      </c>
      <c r="F7" s="314">
        <f>((E7/$B7))-1</f>
        <v>-0.55499999999999994</v>
      </c>
      <c r="G7" s="311">
        <v>179</v>
      </c>
      <c r="H7" s="314">
        <f>((G7/$B7))-1</f>
        <v>-0.55249999999999999</v>
      </c>
      <c r="I7" s="313">
        <f>C7+E7+G7</f>
        <v>429</v>
      </c>
      <c r="J7" s="318">
        <f>((I7/(3*$B7)))-1</f>
        <v>-0.64250000000000007</v>
      </c>
      <c r="K7" s="311">
        <v>97</v>
      </c>
      <c r="L7" s="314">
        <f>((K7/$B7))-1</f>
        <v>-0.75750000000000006</v>
      </c>
      <c r="M7" s="311">
        <v>100</v>
      </c>
      <c r="N7" s="314">
        <f>((M7/$B7))-1</f>
        <v>-0.75</v>
      </c>
      <c r="O7" s="311">
        <v>111</v>
      </c>
      <c r="P7" s="314">
        <f>((O7/$B7))-1</f>
        <v>-0.72249999999999992</v>
      </c>
      <c r="Q7" s="313">
        <f>K7+M7+O7</f>
        <v>308</v>
      </c>
      <c r="R7" s="318">
        <f>((Q7/(3*$B7)))-1</f>
        <v>-0.7433333333333334</v>
      </c>
    </row>
    <row r="8" spans="1:18" x14ac:dyDescent="0.25">
      <c r="A8" s="310" t="s">
        <v>236</v>
      </c>
      <c r="B8" s="335">
        <v>400</v>
      </c>
      <c r="C8" s="311">
        <v>0</v>
      </c>
      <c r="D8" s="314">
        <f t="shared" ref="D8:D14" si="0">((C8/$B8))-1</f>
        <v>-1</v>
      </c>
      <c r="E8" s="311">
        <v>0</v>
      </c>
      <c r="F8" s="314">
        <f t="shared" ref="F8:F14" si="1">((E8/$B8))-1</f>
        <v>-1</v>
      </c>
      <c r="G8" s="311">
        <v>0</v>
      </c>
      <c r="H8" s="314">
        <f t="shared" ref="H8:H14" si="2">((G8/$B8))-1</f>
        <v>-1</v>
      </c>
      <c r="I8" s="313">
        <f t="shared" ref="I8:I14" si="3">C8+E8+G8</f>
        <v>0</v>
      </c>
      <c r="J8" s="318">
        <f t="shared" ref="J8:J14" si="4">((I8/(3*$B8)))-1</f>
        <v>-1</v>
      </c>
      <c r="K8" s="311">
        <v>0</v>
      </c>
      <c r="L8" s="314">
        <f t="shared" ref="L8:L14" si="5">((K8/$B8))-1</f>
        <v>-1</v>
      </c>
      <c r="M8" s="311">
        <v>0</v>
      </c>
      <c r="N8" s="314">
        <f t="shared" ref="N8:N14" si="6">((M8/$B8))-1</f>
        <v>-1</v>
      </c>
      <c r="O8" s="311">
        <v>0</v>
      </c>
      <c r="P8" s="314">
        <f t="shared" ref="P8:P14" si="7">((O8/$B8))-1</f>
        <v>-1</v>
      </c>
      <c r="Q8" s="313">
        <f t="shared" ref="Q8:Q14" si="8">K8+M8+O8</f>
        <v>0</v>
      </c>
      <c r="R8" s="318">
        <f t="shared" ref="R8:R14" si="9">((Q8/(3*$B8)))-1</f>
        <v>-1</v>
      </c>
    </row>
    <row r="9" spans="1:18" x14ac:dyDescent="0.25">
      <c r="A9" s="464" t="s">
        <v>330</v>
      </c>
      <c r="B9" s="335">
        <v>300</v>
      </c>
      <c r="C9" s="311">
        <v>0</v>
      </c>
      <c r="D9" s="314">
        <f t="shared" si="0"/>
        <v>-1</v>
      </c>
      <c r="E9" s="311">
        <v>0</v>
      </c>
      <c r="F9" s="314">
        <f t="shared" si="1"/>
        <v>-1</v>
      </c>
      <c r="G9" s="311">
        <v>0</v>
      </c>
      <c r="H9" s="314">
        <f t="shared" si="2"/>
        <v>-1</v>
      </c>
      <c r="I9" s="313">
        <f t="shared" si="3"/>
        <v>0</v>
      </c>
      <c r="J9" s="318">
        <f t="shared" si="4"/>
        <v>-1</v>
      </c>
      <c r="K9" s="311">
        <v>0</v>
      </c>
      <c r="L9" s="314">
        <f t="shared" si="5"/>
        <v>-1</v>
      </c>
      <c r="M9" s="311">
        <v>0</v>
      </c>
      <c r="N9" s="314">
        <f t="shared" si="6"/>
        <v>-1</v>
      </c>
      <c r="O9" s="311">
        <v>0</v>
      </c>
      <c r="P9" s="314">
        <f t="shared" si="7"/>
        <v>-1</v>
      </c>
      <c r="Q9" s="313">
        <f t="shared" si="8"/>
        <v>0</v>
      </c>
      <c r="R9" s="318">
        <f t="shared" si="9"/>
        <v>-1</v>
      </c>
    </row>
    <row r="10" spans="1:18" x14ac:dyDescent="0.25">
      <c r="A10" s="310" t="s">
        <v>237</v>
      </c>
      <c r="B10" s="335">
        <v>300</v>
      </c>
      <c r="C10" s="311">
        <v>0</v>
      </c>
      <c r="D10" s="314">
        <f t="shared" si="0"/>
        <v>-1</v>
      </c>
      <c r="E10" s="311">
        <v>0</v>
      </c>
      <c r="F10" s="314">
        <f t="shared" si="1"/>
        <v>-1</v>
      </c>
      <c r="G10" s="311">
        <v>0</v>
      </c>
      <c r="H10" s="314">
        <f t="shared" si="2"/>
        <v>-1</v>
      </c>
      <c r="I10" s="313">
        <f t="shared" si="3"/>
        <v>0</v>
      </c>
      <c r="J10" s="318">
        <f t="shared" si="4"/>
        <v>-1</v>
      </c>
      <c r="K10" s="311">
        <v>0</v>
      </c>
      <c r="L10" s="314">
        <f t="shared" si="5"/>
        <v>-1</v>
      </c>
      <c r="M10" s="311">
        <v>0</v>
      </c>
      <c r="N10" s="314">
        <f t="shared" si="6"/>
        <v>-1</v>
      </c>
      <c r="O10" s="311">
        <v>0</v>
      </c>
      <c r="P10" s="314">
        <f t="shared" si="7"/>
        <v>-1</v>
      </c>
      <c r="Q10" s="313">
        <f t="shared" si="8"/>
        <v>0</v>
      </c>
      <c r="R10" s="318">
        <f t="shared" si="9"/>
        <v>-1</v>
      </c>
    </row>
    <row r="11" spans="1:18" x14ac:dyDescent="0.25">
      <c r="A11" s="310" t="s">
        <v>238</v>
      </c>
      <c r="B11" s="335">
        <v>300</v>
      </c>
      <c r="C11" s="311">
        <v>12</v>
      </c>
      <c r="D11" s="314">
        <f t="shared" si="0"/>
        <v>-0.96</v>
      </c>
      <c r="E11" s="311">
        <v>13</v>
      </c>
      <c r="F11" s="314">
        <f t="shared" si="1"/>
        <v>-0.95666666666666667</v>
      </c>
      <c r="G11" s="311">
        <v>0</v>
      </c>
      <c r="H11" s="314">
        <f t="shared" si="2"/>
        <v>-1</v>
      </c>
      <c r="I11" s="313">
        <f t="shared" si="3"/>
        <v>25</v>
      </c>
      <c r="J11" s="318">
        <f t="shared" si="4"/>
        <v>-0.97222222222222221</v>
      </c>
      <c r="K11" s="311">
        <v>8</v>
      </c>
      <c r="L11" s="314">
        <f t="shared" si="5"/>
        <v>-0.97333333333333338</v>
      </c>
      <c r="M11" s="311">
        <v>19</v>
      </c>
      <c r="N11" s="314">
        <f t="shared" si="6"/>
        <v>-0.93666666666666665</v>
      </c>
      <c r="O11" s="311">
        <v>0</v>
      </c>
      <c r="P11" s="314">
        <f t="shared" si="7"/>
        <v>-1</v>
      </c>
      <c r="Q11" s="313">
        <f t="shared" si="8"/>
        <v>27</v>
      </c>
      <c r="R11" s="318">
        <f t="shared" si="9"/>
        <v>-0.97</v>
      </c>
    </row>
    <row r="12" spans="1:18" x14ac:dyDescent="0.25">
      <c r="A12" s="310" t="s">
        <v>239</v>
      </c>
      <c r="B12" s="335">
        <v>300</v>
      </c>
      <c r="C12" s="311">
        <v>0</v>
      </c>
      <c r="D12" s="314">
        <f t="shared" si="0"/>
        <v>-1</v>
      </c>
      <c r="E12" s="311">
        <v>0</v>
      </c>
      <c r="F12" s="314">
        <f t="shared" si="1"/>
        <v>-1</v>
      </c>
      <c r="G12" s="311">
        <v>0</v>
      </c>
      <c r="H12" s="314">
        <f t="shared" si="2"/>
        <v>-1</v>
      </c>
      <c r="I12" s="313">
        <f t="shared" si="3"/>
        <v>0</v>
      </c>
      <c r="J12" s="318">
        <f t="shared" si="4"/>
        <v>-1</v>
      </c>
      <c r="K12" s="311">
        <v>0</v>
      </c>
      <c r="L12" s="314">
        <f t="shared" si="5"/>
        <v>-1</v>
      </c>
      <c r="M12" s="311">
        <v>162</v>
      </c>
      <c r="N12" s="314">
        <f t="shared" si="6"/>
        <v>-0.45999999999999996</v>
      </c>
      <c r="O12" s="311">
        <v>0</v>
      </c>
      <c r="P12" s="314">
        <f t="shared" si="7"/>
        <v>-1</v>
      </c>
      <c r="Q12" s="313">
        <f t="shared" si="8"/>
        <v>162</v>
      </c>
      <c r="R12" s="318">
        <f t="shared" si="9"/>
        <v>-0.82000000000000006</v>
      </c>
    </row>
    <row r="13" spans="1:18" x14ac:dyDescent="0.25">
      <c r="A13" s="310" t="s">
        <v>240</v>
      </c>
      <c r="B13" s="335">
        <v>400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0</v>
      </c>
      <c r="H13" s="314">
        <f t="shared" si="2"/>
        <v>-1</v>
      </c>
      <c r="I13" s="313">
        <f t="shared" si="3"/>
        <v>0</v>
      </c>
      <c r="J13" s="318">
        <f t="shared" si="4"/>
        <v>-1</v>
      </c>
      <c r="K13" s="311">
        <v>0</v>
      </c>
      <c r="L13" s="314">
        <f t="shared" si="5"/>
        <v>-1</v>
      </c>
      <c r="M13" s="311">
        <v>0</v>
      </c>
      <c r="N13" s="314">
        <f t="shared" si="6"/>
        <v>-1</v>
      </c>
      <c r="O13" s="311">
        <v>0</v>
      </c>
      <c r="P13" s="314">
        <f t="shared" si="7"/>
        <v>-1</v>
      </c>
      <c r="Q13" s="313">
        <f t="shared" si="8"/>
        <v>0</v>
      </c>
      <c r="R13" s="318">
        <f t="shared" si="9"/>
        <v>-1</v>
      </c>
    </row>
    <row r="14" spans="1:18" x14ac:dyDescent="0.25">
      <c r="A14" s="310" t="s">
        <v>241</v>
      </c>
      <c r="B14" s="335">
        <v>400</v>
      </c>
      <c r="C14" s="311">
        <v>0</v>
      </c>
      <c r="D14" s="314">
        <f t="shared" si="0"/>
        <v>-1</v>
      </c>
      <c r="E14" s="311">
        <v>0</v>
      </c>
      <c r="F14" s="314">
        <f t="shared" si="1"/>
        <v>-1</v>
      </c>
      <c r="G14" s="311">
        <v>0</v>
      </c>
      <c r="H14" s="314">
        <f t="shared" si="2"/>
        <v>-1</v>
      </c>
      <c r="I14" s="313">
        <f t="shared" si="3"/>
        <v>0</v>
      </c>
      <c r="J14" s="318">
        <f t="shared" si="4"/>
        <v>-1</v>
      </c>
      <c r="K14" s="311">
        <v>0</v>
      </c>
      <c r="L14" s="314">
        <f t="shared" si="5"/>
        <v>-1</v>
      </c>
      <c r="M14" s="311">
        <v>0</v>
      </c>
      <c r="N14" s="314">
        <f t="shared" si="6"/>
        <v>-1</v>
      </c>
      <c r="O14" s="311">
        <v>0</v>
      </c>
      <c r="P14" s="314">
        <f t="shared" si="7"/>
        <v>-1</v>
      </c>
      <c r="Q14" s="313">
        <f t="shared" si="8"/>
        <v>0</v>
      </c>
      <c r="R14" s="318">
        <f t="shared" si="9"/>
        <v>-1</v>
      </c>
    </row>
    <row r="15" spans="1:18" x14ac:dyDescent="0.25">
      <c r="A15" s="470" t="s">
        <v>2</v>
      </c>
      <c r="B15" s="335">
        <f>SUM(B7:B14)</f>
        <v>2800</v>
      </c>
      <c r="C15" s="471">
        <f>SUM(C7:C14)</f>
        <v>84</v>
      </c>
      <c r="D15" s="314">
        <f>((C15/$B15))-1</f>
        <v>-0.97</v>
      </c>
      <c r="E15" s="471">
        <f>SUM(E7:E14)</f>
        <v>191</v>
      </c>
      <c r="F15" s="314">
        <f>((E15/$B15))-1</f>
        <v>-0.93178571428571433</v>
      </c>
      <c r="G15" s="471">
        <f>SUM(G7:G14)</f>
        <v>179</v>
      </c>
      <c r="H15" s="314">
        <f>((G15/$B15))-1</f>
        <v>-0.93607142857142855</v>
      </c>
      <c r="I15" s="313">
        <f>C15+E15+G15</f>
        <v>454</v>
      </c>
      <c r="J15" s="318">
        <f>((I15/(3*$B15)))-1</f>
        <v>-0.94595238095238099</v>
      </c>
      <c r="K15" s="471">
        <f>SUM(K7:K14)</f>
        <v>105</v>
      </c>
      <c r="L15" s="314">
        <f>((K15/$B15))-1</f>
        <v>-0.96250000000000002</v>
      </c>
      <c r="M15" s="471">
        <f>SUM(M7:M14)</f>
        <v>281</v>
      </c>
      <c r="N15" s="314">
        <f>((M15/$B15))-1</f>
        <v>-0.89964285714285719</v>
      </c>
      <c r="O15" s="471">
        <f>SUM(O7:O14)</f>
        <v>111</v>
      </c>
      <c r="P15" s="314">
        <f>((O15/$B15))-1</f>
        <v>-0.96035714285714291</v>
      </c>
      <c r="Q15" s="313">
        <f>K15+M15+O15</f>
        <v>497</v>
      </c>
      <c r="R15" s="318">
        <f>((Q15/(3*$B15)))-1</f>
        <v>-0.9408333333333333</v>
      </c>
    </row>
    <row r="17" spans="1:18" ht="15.75" x14ac:dyDescent="0.25">
      <c r="A17" s="809" t="s">
        <v>392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</row>
    <row r="18" spans="1:18" ht="24" x14ac:dyDescent="0.25">
      <c r="A18" s="465" t="s">
        <v>8</v>
      </c>
      <c r="B18" s="485" t="s">
        <v>9</v>
      </c>
      <c r="C18" s="465" t="str">
        <f t="shared" ref="C18:R18" si="10">C6</f>
        <v>JAN</v>
      </c>
      <c r="D18" s="467" t="str">
        <f t="shared" si="10"/>
        <v>%</v>
      </c>
      <c r="E18" s="465" t="str">
        <f t="shared" si="10"/>
        <v>FEV</v>
      </c>
      <c r="F18" s="467" t="str">
        <f t="shared" si="10"/>
        <v>%</v>
      </c>
      <c r="G18" s="465" t="str">
        <f t="shared" si="10"/>
        <v>MAR</v>
      </c>
      <c r="H18" s="467" t="str">
        <f t="shared" si="10"/>
        <v>%</v>
      </c>
      <c r="I18" s="468" t="str">
        <f t="shared" si="10"/>
        <v>Trimestre</v>
      </c>
      <c r="J18" s="468" t="str">
        <f t="shared" si="10"/>
        <v>%</v>
      </c>
      <c r="K18" s="465" t="str">
        <f t="shared" si="10"/>
        <v>ABR</v>
      </c>
      <c r="L18" s="467" t="str">
        <f t="shared" si="10"/>
        <v>%</v>
      </c>
      <c r="M18" s="465" t="str">
        <f t="shared" si="10"/>
        <v>MAI</v>
      </c>
      <c r="N18" s="467" t="str">
        <f t="shared" si="10"/>
        <v>%</v>
      </c>
      <c r="O18" s="465" t="str">
        <f t="shared" si="10"/>
        <v>JUN</v>
      </c>
      <c r="P18" s="467" t="str">
        <f t="shared" si="10"/>
        <v>%</v>
      </c>
      <c r="Q18" s="468" t="str">
        <f t="shared" si="10"/>
        <v>Trimestre</v>
      </c>
      <c r="R18" s="468" t="str">
        <f t="shared" si="10"/>
        <v>%</v>
      </c>
    </row>
    <row r="19" spans="1:18" x14ac:dyDescent="0.25">
      <c r="A19" s="310" t="s">
        <v>242</v>
      </c>
      <c r="B19" s="335">
        <v>240</v>
      </c>
      <c r="C19" s="311">
        <v>40</v>
      </c>
      <c r="D19" s="314">
        <f>((C19/$B19))-1</f>
        <v>-0.83333333333333337</v>
      </c>
      <c r="E19" s="311">
        <v>74</v>
      </c>
      <c r="F19" s="314">
        <f>((E19/$B19))-1</f>
        <v>-0.69166666666666665</v>
      </c>
      <c r="G19" s="311">
        <v>79</v>
      </c>
      <c r="H19" s="314">
        <f>((G19/$B19))-1</f>
        <v>-0.67083333333333339</v>
      </c>
      <c r="I19" s="313">
        <f>C19+E19+G19</f>
        <v>193</v>
      </c>
      <c r="J19" s="318">
        <f>((I19/(3*$B19)))-1</f>
        <v>-0.73194444444444451</v>
      </c>
      <c r="K19" s="311">
        <v>73</v>
      </c>
      <c r="L19" s="314">
        <f>((K19/$B19))-1</f>
        <v>-0.6958333333333333</v>
      </c>
      <c r="M19" s="311">
        <v>89</v>
      </c>
      <c r="N19" s="314">
        <f>((M19/$B19))-1</f>
        <v>-0.62916666666666665</v>
      </c>
      <c r="O19" s="311">
        <v>100</v>
      </c>
      <c r="P19" s="314">
        <f>((O19/$B19))-1</f>
        <v>-0.58333333333333326</v>
      </c>
      <c r="Q19" s="313">
        <f>K19+M19+O19</f>
        <v>262</v>
      </c>
      <c r="R19" s="318">
        <f>((Q19/(3*$B19)))-1</f>
        <v>-0.63611111111111107</v>
      </c>
    </row>
    <row r="20" spans="1:18" x14ac:dyDescent="0.25">
      <c r="A20" s="470" t="s">
        <v>2</v>
      </c>
      <c r="B20" s="335">
        <f>SUM(B19:B19)</f>
        <v>240</v>
      </c>
      <c r="C20" s="471">
        <f>C19</f>
        <v>40</v>
      </c>
      <c r="D20" s="314">
        <f>((C20/$B20))-1</f>
        <v>-0.83333333333333337</v>
      </c>
      <c r="E20" s="471">
        <f>E19</f>
        <v>74</v>
      </c>
      <c r="F20" s="314">
        <f>((E20/$B20))-1</f>
        <v>-0.69166666666666665</v>
      </c>
      <c r="G20" s="471">
        <f>G19</f>
        <v>79</v>
      </c>
      <c r="H20" s="314">
        <f>((G20/$B20))-1</f>
        <v>-0.67083333333333339</v>
      </c>
      <c r="I20" s="313">
        <f>C20+E20+G20</f>
        <v>193</v>
      </c>
      <c r="J20" s="318">
        <f>((I20/(3*$B20)))-1</f>
        <v>-0.73194444444444451</v>
      </c>
      <c r="K20" s="471">
        <f>K19</f>
        <v>73</v>
      </c>
      <c r="L20" s="314">
        <f>((K20/$B20))-1</f>
        <v>-0.6958333333333333</v>
      </c>
      <c r="M20" s="471">
        <f>M19</f>
        <v>89</v>
      </c>
      <c r="N20" s="314">
        <f>((M20/$B20))-1</f>
        <v>-0.62916666666666665</v>
      </c>
      <c r="O20" s="471">
        <f>O19</f>
        <v>100</v>
      </c>
      <c r="P20" s="314">
        <f>((O20/$B20))-1</f>
        <v>-0.58333333333333326</v>
      </c>
      <c r="Q20" s="486">
        <f>Q19</f>
        <v>262</v>
      </c>
      <c r="R20" s="318">
        <f>((Q20/(3*$B20)))-1</f>
        <v>-0.63611111111111107</v>
      </c>
    </row>
    <row r="22" spans="1:18" ht="15.75" x14ac:dyDescent="0.25">
      <c r="A22" s="850" t="s">
        <v>393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</row>
    <row r="23" spans="1:18" ht="24.75" thickBot="1" x14ac:dyDescent="0.3">
      <c r="A23" s="64" t="s">
        <v>8</v>
      </c>
      <c r="B23" s="341" t="s">
        <v>9</v>
      </c>
      <c r="C23" s="325" t="str">
        <f t="shared" ref="C23:R23" si="11">C18</f>
        <v>JAN</v>
      </c>
      <c r="D23" s="326" t="str">
        <f t="shared" si="11"/>
        <v>%</v>
      </c>
      <c r="E23" s="325" t="str">
        <f t="shared" si="11"/>
        <v>FEV</v>
      </c>
      <c r="F23" s="326" t="str">
        <f t="shared" si="11"/>
        <v>%</v>
      </c>
      <c r="G23" s="325" t="str">
        <f t="shared" si="11"/>
        <v>MAR</v>
      </c>
      <c r="H23" s="326" t="str">
        <f t="shared" si="11"/>
        <v>%</v>
      </c>
      <c r="I23" s="327" t="str">
        <f t="shared" si="11"/>
        <v>Trimestre</v>
      </c>
      <c r="J23" s="327" t="str">
        <f t="shared" si="11"/>
        <v>%</v>
      </c>
      <c r="K23" s="325" t="str">
        <f t="shared" si="11"/>
        <v>ABR</v>
      </c>
      <c r="L23" s="326" t="str">
        <f t="shared" si="11"/>
        <v>%</v>
      </c>
      <c r="M23" s="325" t="str">
        <f t="shared" si="11"/>
        <v>MAI</v>
      </c>
      <c r="N23" s="326" t="str">
        <f t="shared" si="11"/>
        <v>%</v>
      </c>
      <c r="O23" s="325" t="str">
        <f t="shared" si="11"/>
        <v>JUN</v>
      </c>
      <c r="P23" s="326" t="str">
        <f t="shared" si="11"/>
        <v>%</v>
      </c>
      <c r="Q23" s="327" t="str">
        <f t="shared" si="11"/>
        <v>Trimestre</v>
      </c>
      <c r="R23" s="327" t="str">
        <f t="shared" si="11"/>
        <v>%</v>
      </c>
    </row>
    <row r="24" spans="1:18" ht="15.75" thickTop="1" x14ac:dyDescent="0.25">
      <c r="A24" s="705" t="s">
        <v>244</v>
      </c>
      <c r="B24" s="335">
        <v>288</v>
      </c>
      <c r="C24" s="311">
        <v>0</v>
      </c>
      <c r="D24" s="314">
        <f t="shared" ref="D24:D34" si="12">((C24/$B24))-1</f>
        <v>-1</v>
      </c>
      <c r="E24" s="311">
        <v>0</v>
      </c>
      <c r="F24" s="314">
        <f t="shared" ref="F24:F34" si="13">((E24/$B24))-1</f>
        <v>-1</v>
      </c>
      <c r="G24" s="311">
        <v>138</v>
      </c>
      <c r="H24" s="314">
        <f t="shared" ref="H24:H34" si="14">((G24/$B24))-1</f>
        <v>-0.52083333333333326</v>
      </c>
      <c r="I24" s="313">
        <f t="shared" ref="I24:I34" si="15">C24+E24+G24</f>
        <v>138</v>
      </c>
      <c r="J24" s="318">
        <f t="shared" ref="J24:J34" si="16">((I24/(3*$B24)))-1</f>
        <v>-0.84027777777777779</v>
      </c>
      <c r="K24" s="311">
        <v>363</v>
      </c>
      <c r="L24" s="314">
        <f t="shared" ref="L24:L34" si="17">((K24/$B24))-1</f>
        <v>0.26041666666666674</v>
      </c>
      <c r="M24" s="311">
        <v>241</v>
      </c>
      <c r="N24" s="314">
        <f t="shared" ref="N24:N34" si="18">((M24/$B24))-1</f>
        <v>-0.16319444444444442</v>
      </c>
      <c r="O24" s="311">
        <v>147</v>
      </c>
      <c r="P24" s="314">
        <f t="shared" ref="P24:P34" si="19">((O24/$B24))-1</f>
        <v>-0.48958333333333337</v>
      </c>
      <c r="Q24" s="313">
        <f t="shared" ref="Q24:Q34" si="20">K24+M24+O24</f>
        <v>751</v>
      </c>
      <c r="R24" s="318">
        <f t="shared" ref="R24:R34" si="21">((Q24/(3*$B24)))-1</f>
        <v>-0.13078703703703709</v>
      </c>
    </row>
    <row r="25" spans="1:18" x14ac:dyDescent="0.25">
      <c r="A25" s="310" t="s">
        <v>245</v>
      </c>
      <c r="B25" s="342">
        <v>480</v>
      </c>
      <c r="C25" s="329">
        <v>0</v>
      </c>
      <c r="D25" s="314">
        <f t="shared" si="12"/>
        <v>-1</v>
      </c>
      <c r="E25" s="329">
        <v>0</v>
      </c>
      <c r="F25" s="314">
        <f t="shared" si="13"/>
        <v>-1</v>
      </c>
      <c r="G25" s="329">
        <v>0</v>
      </c>
      <c r="H25" s="330">
        <f t="shared" si="14"/>
        <v>-1</v>
      </c>
      <c r="I25" s="331">
        <f t="shared" si="15"/>
        <v>0</v>
      </c>
      <c r="J25" s="332">
        <f t="shared" si="16"/>
        <v>-1</v>
      </c>
      <c r="K25" s="329">
        <v>12</v>
      </c>
      <c r="L25" s="330">
        <f t="shared" si="17"/>
        <v>-0.97499999999999998</v>
      </c>
      <c r="M25" s="329">
        <v>141</v>
      </c>
      <c r="N25" s="330">
        <f t="shared" si="18"/>
        <v>-0.70625000000000004</v>
      </c>
      <c r="O25" s="329">
        <v>153</v>
      </c>
      <c r="P25" s="330">
        <f t="shared" si="19"/>
        <v>-0.68125000000000002</v>
      </c>
      <c r="Q25" s="331">
        <f t="shared" si="20"/>
        <v>306</v>
      </c>
      <c r="R25" s="332">
        <f t="shared" si="21"/>
        <v>-0.78749999999999998</v>
      </c>
    </row>
    <row r="26" spans="1:18" x14ac:dyDescent="0.25">
      <c r="A26" s="310" t="s">
        <v>246</v>
      </c>
      <c r="B26" s="342">
        <v>100</v>
      </c>
      <c r="C26" s="329">
        <v>0</v>
      </c>
      <c r="D26" s="314">
        <f t="shared" si="12"/>
        <v>-1</v>
      </c>
      <c r="E26" s="329">
        <v>0</v>
      </c>
      <c r="F26" s="314">
        <f t="shared" si="13"/>
        <v>-1</v>
      </c>
      <c r="G26" s="329">
        <v>0</v>
      </c>
      <c r="H26" s="330">
        <f t="shared" si="14"/>
        <v>-1</v>
      </c>
      <c r="I26" s="331">
        <f t="shared" si="15"/>
        <v>0</v>
      </c>
      <c r="J26" s="332">
        <f t="shared" si="16"/>
        <v>-1</v>
      </c>
      <c r="K26" s="329">
        <v>0</v>
      </c>
      <c r="L26" s="330">
        <f t="shared" si="17"/>
        <v>-1</v>
      </c>
      <c r="M26" s="329">
        <v>36</v>
      </c>
      <c r="N26" s="330">
        <f t="shared" si="18"/>
        <v>-0.64</v>
      </c>
      <c r="O26" s="329">
        <v>38</v>
      </c>
      <c r="P26" s="330">
        <f t="shared" si="19"/>
        <v>-0.62</v>
      </c>
      <c r="Q26" s="331">
        <f t="shared" si="20"/>
        <v>74</v>
      </c>
      <c r="R26" s="332">
        <f t="shared" si="21"/>
        <v>-0.7533333333333333</v>
      </c>
    </row>
    <row r="27" spans="1:18" x14ac:dyDescent="0.25">
      <c r="A27" s="310" t="s">
        <v>247</v>
      </c>
      <c r="B27" s="335">
        <v>40</v>
      </c>
      <c r="C27" s="311">
        <v>0</v>
      </c>
      <c r="D27" s="314">
        <f t="shared" si="12"/>
        <v>-1</v>
      </c>
      <c r="E27" s="311">
        <v>0</v>
      </c>
      <c r="F27" s="314">
        <f t="shared" si="13"/>
        <v>-1</v>
      </c>
      <c r="G27" s="311">
        <v>0</v>
      </c>
      <c r="H27" s="314">
        <f t="shared" si="14"/>
        <v>-1</v>
      </c>
      <c r="I27" s="331">
        <f t="shared" si="15"/>
        <v>0</v>
      </c>
      <c r="J27" s="332">
        <f t="shared" si="16"/>
        <v>-1</v>
      </c>
      <c r="K27" s="311">
        <v>0</v>
      </c>
      <c r="L27" s="314">
        <f t="shared" si="17"/>
        <v>-1</v>
      </c>
      <c r="M27" s="311">
        <v>14</v>
      </c>
      <c r="N27" s="314">
        <f t="shared" si="18"/>
        <v>-0.65</v>
      </c>
      <c r="O27" s="311">
        <v>16</v>
      </c>
      <c r="P27" s="314">
        <f t="shared" si="19"/>
        <v>-0.6</v>
      </c>
      <c r="Q27" s="331">
        <f t="shared" si="20"/>
        <v>30</v>
      </c>
      <c r="R27" s="332">
        <f t="shared" si="21"/>
        <v>-0.75</v>
      </c>
    </row>
    <row r="28" spans="1:18" x14ac:dyDescent="0.25">
      <c r="A28" s="310" t="s">
        <v>248</v>
      </c>
      <c r="B28" s="335">
        <v>192</v>
      </c>
      <c r="C28" s="311">
        <v>0</v>
      </c>
      <c r="D28" s="314">
        <f t="shared" si="12"/>
        <v>-1</v>
      </c>
      <c r="E28" s="311">
        <v>0</v>
      </c>
      <c r="F28" s="314">
        <f t="shared" si="13"/>
        <v>-1</v>
      </c>
      <c r="G28" s="311">
        <v>0</v>
      </c>
      <c r="H28" s="314">
        <f>((G28/$B28))-1</f>
        <v>-1</v>
      </c>
      <c r="I28" s="331">
        <f t="shared" si="15"/>
        <v>0</v>
      </c>
      <c r="J28" s="332">
        <f t="shared" si="16"/>
        <v>-1</v>
      </c>
      <c r="K28" s="311">
        <v>0</v>
      </c>
      <c r="L28" s="314">
        <f t="shared" si="17"/>
        <v>-1</v>
      </c>
      <c r="M28" s="311">
        <v>72</v>
      </c>
      <c r="N28" s="314">
        <f t="shared" si="18"/>
        <v>-0.625</v>
      </c>
      <c r="O28" s="311">
        <v>44</v>
      </c>
      <c r="P28" s="314">
        <f t="shared" si="19"/>
        <v>-0.77083333333333337</v>
      </c>
      <c r="Q28" s="331">
        <f t="shared" si="20"/>
        <v>116</v>
      </c>
      <c r="R28" s="332">
        <f t="shared" si="21"/>
        <v>-0.79861111111111116</v>
      </c>
    </row>
    <row r="29" spans="1:18" x14ac:dyDescent="0.25">
      <c r="A29" s="323" t="s">
        <v>250</v>
      </c>
      <c r="B29" s="342">
        <v>240</v>
      </c>
      <c r="C29" s="329">
        <v>0</v>
      </c>
      <c r="D29" s="314">
        <f t="shared" si="12"/>
        <v>-1</v>
      </c>
      <c r="E29" s="329">
        <v>0</v>
      </c>
      <c r="F29" s="314">
        <f t="shared" si="13"/>
        <v>-1</v>
      </c>
      <c r="G29" s="329">
        <v>51</v>
      </c>
      <c r="H29" s="314">
        <f>((G29/$B29))-1</f>
        <v>-0.78749999999999998</v>
      </c>
      <c r="I29" s="331">
        <f t="shared" si="15"/>
        <v>51</v>
      </c>
      <c r="J29" s="332">
        <f t="shared" si="16"/>
        <v>-0.9291666666666667</v>
      </c>
      <c r="K29" s="329">
        <v>112</v>
      </c>
      <c r="L29" s="314">
        <f t="shared" si="17"/>
        <v>-0.53333333333333333</v>
      </c>
      <c r="M29" s="329">
        <v>87</v>
      </c>
      <c r="N29" s="314">
        <f t="shared" si="18"/>
        <v>-0.63749999999999996</v>
      </c>
      <c r="O29" s="329">
        <v>55</v>
      </c>
      <c r="P29" s="314">
        <f t="shared" si="19"/>
        <v>-0.77083333333333337</v>
      </c>
      <c r="Q29" s="331">
        <f t="shared" si="20"/>
        <v>254</v>
      </c>
      <c r="R29" s="332">
        <f t="shared" si="21"/>
        <v>-0.64722222222222214</v>
      </c>
    </row>
    <row r="30" spans="1:18" x14ac:dyDescent="0.25">
      <c r="A30" s="323" t="s">
        <v>249</v>
      </c>
      <c r="B30" s="342">
        <v>288</v>
      </c>
      <c r="C30" s="329">
        <v>0</v>
      </c>
      <c r="D30" s="330">
        <f t="shared" si="12"/>
        <v>-1</v>
      </c>
      <c r="E30" s="329">
        <v>0</v>
      </c>
      <c r="F30" s="330">
        <f t="shared" si="13"/>
        <v>-1</v>
      </c>
      <c r="G30" s="329">
        <v>0</v>
      </c>
      <c r="H30" s="330">
        <f t="shared" si="14"/>
        <v>-1</v>
      </c>
      <c r="I30" s="331">
        <f t="shared" si="15"/>
        <v>0</v>
      </c>
      <c r="J30" s="332">
        <f t="shared" si="16"/>
        <v>-1</v>
      </c>
      <c r="K30" s="329">
        <v>13</v>
      </c>
      <c r="L30" s="330">
        <f t="shared" si="17"/>
        <v>-0.95486111111111116</v>
      </c>
      <c r="M30" s="329">
        <v>7</v>
      </c>
      <c r="N30" s="330">
        <f t="shared" si="18"/>
        <v>-0.97569444444444442</v>
      </c>
      <c r="O30" s="329">
        <v>12</v>
      </c>
      <c r="P30" s="330">
        <f t="shared" si="19"/>
        <v>-0.95833333333333337</v>
      </c>
      <c r="Q30" s="331">
        <f t="shared" si="20"/>
        <v>32</v>
      </c>
      <c r="R30" s="332">
        <f t="shared" si="21"/>
        <v>-0.96296296296296302</v>
      </c>
    </row>
    <row r="31" spans="1:18" x14ac:dyDescent="0.25">
      <c r="A31" s="310" t="s">
        <v>251</v>
      </c>
      <c r="B31" s="335">
        <v>48</v>
      </c>
      <c r="C31" s="311">
        <v>0</v>
      </c>
      <c r="D31" s="330">
        <f t="shared" si="12"/>
        <v>-1</v>
      </c>
      <c r="E31" s="311">
        <v>0</v>
      </c>
      <c r="F31" s="330">
        <f t="shared" si="13"/>
        <v>-1</v>
      </c>
      <c r="G31" s="311">
        <v>0</v>
      </c>
      <c r="H31" s="330">
        <f t="shared" si="14"/>
        <v>-1</v>
      </c>
      <c r="I31" s="331">
        <f t="shared" si="15"/>
        <v>0</v>
      </c>
      <c r="J31" s="332">
        <f t="shared" si="16"/>
        <v>-1</v>
      </c>
      <c r="K31" s="311">
        <v>0</v>
      </c>
      <c r="L31" s="330">
        <f t="shared" si="17"/>
        <v>-1</v>
      </c>
      <c r="M31" s="311">
        <v>0</v>
      </c>
      <c r="N31" s="330">
        <f t="shared" si="18"/>
        <v>-1</v>
      </c>
      <c r="O31" s="311">
        <v>0</v>
      </c>
      <c r="P31" s="330">
        <f t="shared" si="19"/>
        <v>-1</v>
      </c>
      <c r="Q31" s="331">
        <f t="shared" si="20"/>
        <v>0</v>
      </c>
      <c r="R31" s="332">
        <f t="shared" si="21"/>
        <v>-1</v>
      </c>
    </row>
    <row r="32" spans="1:18" x14ac:dyDescent="0.25">
      <c r="A32" s="310" t="s">
        <v>252</v>
      </c>
      <c r="B32" s="335">
        <v>96</v>
      </c>
      <c r="C32" s="311">
        <v>44</v>
      </c>
      <c r="D32" s="330">
        <f t="shared" si="12"/>
        <v>-0.54166666666666674</v>
      </c>
      <c r="E32" s="311">
        <v>73</v>
      </c>
      <c r="F32" s="330">
        <f t="shared" si="13"/>
        <v>-0.23958333333333337</v>
      </c>
      <c r="G32" s="311">
        <v>76</v>
      </c>
      <c r="H32" s="330">
        <f t="shared" si="14"/>
        <v>-0.20833333333333337</v>
      </c>
      <c r="I32" s="331">
        <f t="shared" si="15"/>
        <v>193</v>
      </c>
      <c r="J32" s="332">
        <f t="shared" si="16"/>
        <v>-0.32986111111111116</v>
      </c>
      <c r="K32" s="311">
        <v>49</v>
      </c>
      <c r="L32" s="330">
        <f t="shared" si="17"/>
        <v>-0.48958333333333337</v>
      </c>
      <c r="M32" s="311">
        <v>84</v>
      </c>
      <c r="N32" s="330">
        <f t="shared" si="18"/>
        <v>-0.125</v>
      </c>
      <c r="O32" s="311">
        <v>68</v>
      </c>
      <c r="P32" s="330">
        <f t="shared" si="19"/>
        <v>-0.29166666666666663</v>
      </c>
      <c r="Q32" s="331">
        <f t="shared" si="20"/>
        <v>201</v>
      </c>
      <c r="R32" s="332">
        <f t="shared" si="21"/>
        <v>-0.30208333333333337</v>
      </c>
    </row>
    <row r="33" spans="1:18" x14ac:dyDescent="0.25">
      <c r="A33" s="310" t="s">
        <v>243</v>
      </c>
      <c r="B33" s="335">
        <v>864</v>
      </c>
      <c r="C33" s="311">
        <v>334</v>
      </c>
      <c r="D33" s="330">
        <f t="shared" si="12"/>
        <v>-0.61342592592592593</v>
      </c>
      <c r="E33" s="311">
        <v>790</v>
      </c>
      <c r="F33" s="330">
        <f t="shared" si="13"/>
        <v>-8.564814814814814E-2</v>
      </c>
      <c r="G33" s="311">
        <v>1077</v>
      </c>
      <c r="H33" s="330">
        <f t="shared" si="14"/>
        <v>0.24652777777777768</v>
      </c>
      <c r="I33" s="331">
        <f t="shared" si="15"/>
        <v>2201</v>
      </c>
      <c r="J33" s="332">
        <f t="shared" si="16"/>
        <v>-0.1508487654320988</v>
      </c>
      <c r="K33" s="311">
        <v>954</v>
      </c>
      <c r="L33" s="330">
        <f t="shared" si="17"/>
        <v>0.10416666666666674</v>
      </c>
      <c r="M33" s="311">
        <v>1401</v>
      </c>
      <c r="N33" s="330">
        <f t="shared" si="18"/>
        <v>0.62152777777777768</v>
      </c>
      <c r="O33" s="311">
        <v>875</v>
      </c>
      <c r="P33" s="330">
        <f t="shared" si="19"/>
        <v>1.2731481481481399E-2</v>
      </c>
      <c r="Q33" s="331">
        <f t="shared" si="20"/>
        <v>3230</v>
      </c>
      <c r="R33" s="332">
        <f t="shared" si="21"/>
        <v>0.24614197530864201</v>
      </c>
    </row>
    <row r="34" spans="1:18" ht="15.75" thickBot="1" x14ac:dyDescent="0.3">
      <c r="A34" s="323" t="s">
        <v>253</v>
      </c>
      <c r="B34" s="342">
        <v>288</v>
      </c>
      <c r="C34" s="329">
        <v>0</v>
      </c>
      <c r="D34" s="330">
        <f t="shared" si="12"/>
        <v>-1</v>
      </c>
      <c r="E34" s="329">
        <v>0</v>
      </c>
      <c r="F34" s="330">
        <f t="shared" si="13"/>
        <v>-1</v>
      </c>
      <c r="G34" s="329">
        <v>0</v>
      </c>
      <c r="H34" s="330">
        <f t="shared" si="14"/>
        <v>-1</v>
      </c>
      <c r="I34" s="331">
        <f t="shared" si="15"/>
        <v>0</v>
      </c>
      <c r="J34" s="332">
        <f t="shared" si="16"/>
        <v>-1</v>
      </c>
      <c r="K34" s="329">
        <v>0</v>
      </c>
      <c r="L34" s="330">
        <f t="shared" si="17"/>
        <v>-1</v>
      </c>
      <c r="M34" s="329">
        <v>248</v>
      </c>
      <c r="N34" s="330">
        <f t="shared" si="18"/>
        <v>-0.13888888888888884</v>
      </c>
      <c r="O34" s="329">
        <v>49</v>
      </c>
      <c r="P34" s="330">
        <f t="shared" si="19"/>
        <v>-0.82986111111111116</v>
      </c>
      <c r="Q34" s="331">
        <f t="shared" si="20"/>
        <v>297</v>
      </c>
      <c r="R34" s="332">
        <f t="shared" si="21"/>
        <v>-0.65625</v>
      </c>
    </row>
    <row r="35" spans="1:18" ht="15.75" thickBot="1" x14ac:dyDescent="0.3">
      <c r="A35" s="50" t="s">
        <v>2</v>
      </c>
      <c r="B35" s="370">
        <f>SUM(B24:B34)</f>
        <v>2924</v>
      </c>
      <c r="C35" s="54">
        <f>SUM(C24:C34)</f>
        <v>378</v>
      </c>
      <c r="D35" s="59">
        <f>((C35/$B35))-1</f>
        <v>-0.87072503419972636</v>
      </c>
      <c r="E35" s="54">
        <f>SUM(E24:E34)</f>
        <v>863</v>
      </c>
      <c r="F35" s="59">
        <f>((E35/$B35))-1</f>
        <v>-0.70485636114911077</v>
      </c>
      <c r="G35" s="54">
        <f>SUM(G24:G34)</f>
        <v>1342</v>
      </c>
      <c r="H35" s="371">
        <f>((G35/$B35))-1</f>
        <v>-0.54103967168262657</v>
      </c>
      <c r="I35" s="372">
        <f>C35+E35+G35</f>
        <v>2583</v>
      </c>
      <c r="J35" s="373">
        <f>((I35/(3*$B35)))-1</f>
        <v>-0.70554035567715456</v>
      </c>
      <c r="K35" s="54">
        <f>SUM(K24:K34)</f>
        <v>1503</v>
      </c>
      <c r="L35" s="59">
        <f>((K35/$B35))-1</f>
        <v>-0.48597811217510256</v>
      </c>
      <c r="M35" s="54">
        <f>SUM(M24:M34)</f>
        <v>2331</v>
      </c>
      <c r="N35" s="59">
        <f>((M35/$B35))-1</f>
        <v>-0.20280437756497949</v>
      </c>
      <c r="O35" s="54">
        <f>SUM(O24:O34)</f>
        <v>1457</v>
      </c>
      <c r="P35" s="371">
        <f>((O35/$B35))-1</f>
        <v>-0.50170998632010944</v>
      </c>
      <c r="Q35" s="372">
        <f>K35+M35+O35</f>
        <v>5291</v>
      </c>
      <c r="R35" s="373">
        <f>((Q35/(3*$B35)))-1</f>
        <v>-0.3968308253533972</v>
      </c>
    </row>
  </sheetData>
  <mergeCells count="5">
    <mergeCell ref="A5:R5"/>
    <mergeCell ref="A17:R17"/>
    <mergeCell ref="A2:R2"/>
    <mergeCell ref="A3:R3"/>
    <mergeCell ref="A22:R22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FC16-9FEB-48C0-9C59-64692D77C46B}">
  <sheetPr>
    <tabColor rgb="FFFFC00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RowHeight="15" x14ac:dyDescent="0.25"/>
  <cols>
    <col min="1" max="1" width="29.28515625" customWidth="1"/>
    <col min="2" max="3" width="9.28515625" bestFit="1" customWidth="1"/>
    <col min="4" max="4" width="11.140625" bestFit="1" customWidth="1"/>
    <col min="5" max="5" width="9.28515625" bestFit="1" customWidth="1"/>
    <col min="6" max="6" width="11.140625" bestFit="1" customWidth="1"/>
    <col min="7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1.140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1.140625" bestFit="1" customWidth="1"/>
    <col min="17" max="17" width="9.28515625" bestFit="1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392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" x14ac:dyDescent="0.25">
      <c r="A6" s="465" t="s">
        <v>8</v>
      </c>
      <c r="B6" s="485" t="s">
        <v>9</v>
      </c>
      <c r="C6" s="465" t="str">
        <f>'UBS Vila Dalva 2º SEM'!C6</f>
        <v>JUL</v>
      </c>
      <c r="D6" s="467" t="str">
        <f>'UBS Vila Dalva 2º SEM'!D6</f>
        <v>%</v>
      </c>
      <c r="E6" s="465" t="str">
        <f>'UBS Vila Dalva 2º SEM'!E6</f>
        <v>AGO</v>
      </c>
      <c r="F6" s="467" t="str">
        <f>'UBS Vila Dalva 2º SEM'!F6</f>
        <v>%</v>
      </c>
      <c r="G6" s="465" t="str">
        <f>'UBS Vila Dalva 2º SEM'!G6</f>
        <v>SET</v>
      </c>
      <c r="H6" s="467" t="str">
        <f>'UBS Vila Dalva 2º SEM'!H6</f>
        <v>%</v>
      </c>
      <c r="I6" s="468" t="str">
        <f>'UBS Vila Dalva 2º SEM'!I6</f>
        <v>Trimestre</v>
      </c>
      <c r="J6" s="468" t="str">
        <f>'UBS Vila Dalva 2º SEM'!J6</f>
        <v>%</v>
      </c>
      <c r="K6" s="465" t="str">
        <f>'UBS Vila Dalva 2º SEM'!K6</f>
        <v>OUT</v>
      </c>
      <c r="L6" s="467" t="str">
        <f>'UBS Vila Dalva 2º SEM'!L6</f>
        <v>%</v>
      </c>
      <c r="M6" s="465" t="str">
        <f>'UBS Vila Dalva 2º SEM'!M6</f>
        <v>NOV</v>
      </c>
      <c r="N6" s="467" t="str">
        <f>'UBS Vila Dalva 2º SEM'!N6</f>
        <v>%</v>
      </c>
      <c r="O6" s="465" t="str">
        <f>'UBS Vila Dalva 2º SEM'!O6</f>
        <v>DEZ</v>
      </c>
      <c r="P6" s="467" t="str">
        <f>'UBS Vila Dalva 2º SEM'!P6</f>
        <v>%</v>
      </c>
      <c r="Q6" s="468" t="str">
        <f>'UBS Vila Dalva 2º SEM'!Q6</f>
        <v>Trimestre</v>
      </c>
      <c r="R6" s="468" t="str">
        <f>'UBS Vila Dalva 2º SEM'!R6</f>
        <v>%</v>
      </c>
    </row>
    <row r="7" spans="1:18" x14ac:dyDescent="0.25">
      <c r="A7" s="310" t="s">
        <v>235</v>
      </c>
      <c r="B7" s="335">
        <v>400</v>
      </c>
      <c r="C7" s="311">
        <v>119</v>
      </c>
      <c r="D7" s="314">
        <f t="shared" ref="D7:D15" si="0">((C7/$B7))-1</f>
        <v>-0.70250000000000001</v>
      </c>
      <c r="E7" s="311">
        <v>162</v>
      </c>
      <c r="F7" s="314">
        <f t="shared" ref="F7:F15" si="1">((E7/$B7))-1</f>
        <v>-0.59499999999999997</v>
      </c>
      <c r="G7" s="311">
        <v>106</v>
      </c>
      <c r="H7" s="314">
        <f t="shared" ref="H7:H15" si="2">((G7/$B7))-1</f>
        <v>-0.73499999999999999</v>
      </c>
      <c r="I7" s="313">
        <f t="shared" ref="I7:I15" si="3">C7+E7+G7</f>
        <v>387</v>
      </c>
      <c r="J7" s="318">
        <f t="shared" ref="J7:J15" si="4">((I7/(3*$B7)))-1</f>
        <v>-0.67749999999999999</v>
      </c>
      <c r="K7" s="311">
        <v>97</v>
      </c>
      <c r="L7" s="314">
        <f t="shared" ref="L7:L15" si="5">((K7/$B7))-1</f>
        <v>-0.75750000000000006</v>
      </c>
      <c r="M7" s="311">
        <v>0</v>
      </c>
      <c r="N7" s="314">
        <f t="shared" ref="N7:N15" si="6">((M7/$B7))-1</f>
        <v>-1</v>
      </c>
      <c r="O7" s="311">
        <v>128</v>
      </c>
      <c r="P7" s="314">
        <f t="shared" ref="P7:P15" si="7">((O7/$B7))-1</f>
        <v>-0.67999999999999994</v>
      </c>
      <c r="Q7" s="313">
        <f t="shared" ref="Q7:Q15" si="8">K7+M7+O7</f>
        <v>225</v>
      </c>
      <c r="R7" s="318">
        <f t="shared" ref="R7:R15" si="9">((Q7/(3*$B7)))-1</f>
        <v>-0.8125</v>
      </c>
    </row>
    <row r="8" spans="1:18" x14ac:dyDescent="0.25">
      <c r="A8" s="310" t="s">
        <v>236</v>
      </c>
      <c r="B8" s="335">
        <v>400</v>
      </c>
      <c r="C8" s="311">
        <v>17</v>
      </c>
      <c r="D8" s="314">
        <f t="shared" si="0"/>
        <v>-0.95750000000000002</v>
      </c>
      <c r="E8" s="311">
        <v>71</v>
      </c>
      <c r="F8" s="314">
        <f t="shared" si="1"/>
        <v>-0.82250000000000001</v>
      </c>
      <c r="G8" s="311">
        <v>12</v>
      </c>
      <c r="H8" s="314">
        <f t="shared" si="2"/>
        <v>-0.97</v>
      </c>
      <c r="I8" s="313">
        <f t="shared" si="3"/>
        <v>100</v>
      </c>
      <c r="J8" s="318">
        <f t="shared" si="4"/>
        <v>-0.91666666666666663</v>
      </c>
      <c r="K8" s="311">
        <v>0</v>
      </c>
      <c r="L8" s="314">
        <f t="shared" si="5"/>
        <v>-1</v>
      </c>
      <c r="M8" s="311">
        <v>0</v>
      </c>
      <c r="N8" s="314">
        <f t="shared" si="6"/>
        <v>-1</v>
      </c>
      <c r="O8" s="311">
        <v>0</v>
      </c>
      <c r="P8" s="314">
        <f t="shared" si="7"/>
        <v>-1</v>
      </c>
      <c r="Q8" s="313">
        <f t="shared" si="8"/>
        <v>0</v>
      </c>
      <c r="R8" s="318">
        <f t="shared" si="9"/>
        <v>-1</v>
      </c>
    </row>
    <row r="9" spans="1:18" x14ac:dyDescent="0.25">
      <c r="A9" s="464" t="s">
        <v>330</v>
      </c>
      <c r="B9" s="335">
        <v>300</v>
      </c>
      <c r="C9" s="311">
        <v>0</v>
      </c>
      <c r="D9" s="314">
        <f t="shared" si="0"/>
        <v>-1</v>
      </c>
      <c r="E9" s="311">
        <v>0</v>
      </c>
      <c r="F9" s="314">
        <f t="shared" si="1"/>
        <v>-1</v>
      </c>
      <c r="G9" s="311">
        <v>0</v>
      </c>
      <c r="H9" s="314">
        <f t="shared" si="2"/>
        <v>-1</v>
      </c>
      <c r="I9" s="313">
        <f t="shared" si="3"/>
        <v>0</v>
      </c>
      <c r="J9" s="318">
        <f t="shared" si="4"/>
        <v>-1</v>
      </c>
      <c r="K9" s="311">
        <v>0</v>
      </c>
      <c r="L9" s="314">
        <f t="shared" si="5"/>
        <v>-1</v>
      </c>
      <c r="M9" s="311">
        <v>0</v>
      </c>
      <c r="N9" s="314">
        <f t="shared" si="6"/>
        <v>-1</v>
      </c>
      <c r="O9" s="311">
        <v>0</v>
      </c>
      <c r="P9" s="314">
        <f t="shared" si="7"/>
        <v>-1</v>
      </c>
      <c r="Q9" s="313">
        <f t="shared" si="8"/>
        <v>0</v>
      </c>
      <c r="R9" s="318">
        <f t="shared" si="9"/>
        <v>-1</v>
      </c>
    </row>
    <row r="10" spans="1:18" x14ac:dyDescent="0.25">
      <c r="A10" s="310" t="s">
        <v>237</v>
      </c>
      <c r="B10" s="335">
        <v>300</v>
      </c>
      <c r="C10" s="311">
        <v>0</v>
      </c>
      <c r="D10" s="314">
        <f t="shared" si="0"/>
        <v>-1</v>
      </c>
      <c r="E10" s="311">
        <v>0</v>
      </c>
      <c r="F10" s="314">
        <f t="shared" si="1"/>
        <v>-1</v>
      </c>
      <c r="G10" s="311">
        <v>0</v>
      </c>
      <c r="H10" s="314">
        <f t="shared" si="2"/>
        <v>-1</v>
      </c>
      <c r="I10" s="313">
        <f t="shared" si="3"/>
        <v>0</v>
      </c>
      <c r="J10" s="318">
        <f t="shared" si="4"/>
        <v>-1</v>
      </c>
      <c r="K10" s="311">
        <v>0</v>
      </c>
      <c r="L10" s="314">
        <f t="shared" si="5"/>
        <v>-1</v>
      </c>
      <c r="M10" s="311">
        <v>0</v>
      </c>
      <c r="N10" s="314">
        <f t="shared" si="6"/>
        <v>-1</v>
      </c>
      <c r="O10" s="311">
        <v>0</v>
      </c>
      <c r="P10" s="314">
        <f t="shared" si="7"/>
        <v>-1</v>
      </c>
      <c r="Q10" s="313">
        <f t="shared" si="8"/>
        <v>0</v>
      </c>
      <c r="R10" s="318">
        <f t="shared" si="9"/>
        <v>-1</v>
      </c>
    </row>
    <row r="11" spans="1:18" x14ac:dyDescent="0.25">
      <c r="A11" s="310" t="s">
        <v>238</v>
      </c>
      <c r="B11" s="335">
        <v>300</v>
      </c>
      <c r="C11" s="311">
        <v>24</v>
      </c>
      <c r="D11" s="314">
        <f t="shared" si="0"/>
        <v>-0.92</v>
      </c>
      <c r="E11" s="311">
        <v>29</v>
      </c>
      <c r="F11" s="314">
        <f t="shared" si="1"/>
        <v>-0.90333333333333332</v>
      </c>
      <c r="G11" s="311">
        <v>0</v>
      </c>
      <c r="H11" s="314">
        <f t="shared" si="2"/>
        <v>-1</v>
      </c>
      <c r="I11" s="313">
        <f t="shared" si="3"/>
        <v>53</v>
      </c>
      <c r="J11" s="318">
        <f t="shared" si="4"/>
        <v>-0.94111111111111112</v>
      </c>
      <c r="K11" s="311">
        <v>0</v>
      </c>
      <c r="L11" s="314">
        <f t="shared" si="5"/>
        <v>-1</v>
      </c>
      <c r="M11" s="311">
        <v>0</v>
      </c>
      <c r="N11" s="314">
        <f t="shared" si="6"/>
        <v>-1</v>
      </c>
      <c r="O11" s="311">
        <v>0</v>
      </c>
      <c r="P11" s="314">
        <f t="shared" si="7"/>
        <v>-1</v>
      </c>
      <c r="Q11" s="313">
        <f t="shared" si="8"/>
        <v>0</v>
      </c>
      <c r="R11" s="318">
        <f t="shared" si="9"/>
        <v>-1</v>
      </c>
    </row>
    <row r="12" spans="1:18" x14ac:dyDescent="0.25">
      <c r="A12" s="310" t="s">
        <v>239</v>
      </c>
      <c r="B12" s="335">
        <v>300</v>
      </c>
      <c r="C12" s="311">
        <v>0</v>
      </c>
      <c r="D12" s="314">
        <f t="shared" si="0"/>
        <v>-1</v>
      </c>
      <c r="E12" s="311">
        <v>0</v>
      </c>
      <c r="F12" s="314">
        <f t="shared" si="1"/>
        <v>-1</v>
      </c>
      <c r="G12" s="311">
        <v>0</v>
      </c>
      <c r="H12" s="314">
        <f t="shared" si="2"/>
        <v>-1</v>
      </c>
      <c r="I12" s="313">
        <f t="shared" si="3"/>
        <v>0</v>
      </c>
      <c r="J12" s="318">
        <f t="shared" si="4"/>
        <v>-1</v>
      </c>
      <c r="K12" s="311">
        <v>0</v>
      </c>
      <c r="L12" s="314">
        <f t="shared" si="5"/>
        <v>-1</v>
      </c>
      <c r="M12" s="311">
        <v>0</v>
      </c>
      <c r="N12" s="314">
        <f t="shared" si="6"/>
        <v>-1</v>
      </c>
      <c r="O12" s="311">
        <v>0</v>
      </c>
      <c r="P12" s="314">
        <f t="shared" si="7"/>
        <v>-1</v>
      </c>
      <c r="Q12" s="313">
        <f t="shared" si="8"/>
        <v>0</v>
      </c>
      <c r="R12" s="318">
        <f t="shared" si="9"/>
        <v>-1</v>
      </c>
    </row>
    <row r="13" spans="1:18" x14ac:dyDescent="0.25">
      <c r="A13" s="310" t="s">
        <v>240</v>
      </c>
      <c r="B13" s="335">
        <v>400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0</v>
      </c>
      <c r="H13" s="314">
        <f t="shared" si="2"/>
        <v>-1</v>
      </c>
      <c r="I13" s="313">
        <f t="shared" si="3"/>
        <v>0</v>
      </c>
      <c r="J13" s="318">
        <f t="shared" si="4"/>
        <v>-1</v>
      </c>
      <c r="K13" s="311">
        <v>0</v>
      </c>
      <c r="L13" s="314">
        <f t="shared" si="5"/>
        <v>-1</v>
      </c>
      <c r="M13" s="311">
        <v>0</v>
      </c>
      <c r="N13" s="314">
        <f t="shared" si="6"/>
        <v>-1</v>
      </c>
      <c r="O13" s="311">
        <v>0</v>
      </c>
      <c r="P13" s="314">
        <f t="shared" si="7"/>
        <v>-1</v>
      </c>
      <c r="Q13" s="313">
        <f t="shared" si="8"/>
        <v>0</v>
      </c>
      <c r="R13" s="318">
        <f t="shared" si="9"/>
        <v>-1</v>
      </c>
    </row>
    <row r="14" spans="1:18" ht="15" customHeight="1" x14ac:dyDescent="0.25">
      <c r="A14" s="310" t="s">
        <v>241</v>
      </c>
      <c r="B14" s="335">
        <v>400</v>
      </c>
      <c r="C14" s="311">
        <v>0</v>
      </c>
      <c r="D14" s="314">
        <f t="shared" si="0"/>
        <v>-1</v>
      </c>
      <c r="E14" s="311">
        <v>0</v>
      </c>
      <c r="F14" s="314">
        <f t="shared" si="1"/>
        <v>-1</v>
      </c>
      <c r="G14" s="311">
        <v>0</v>
      </c>
      <c r="H14" s="314">
        <f t="shared" si="2"/>
        <v>-1</v>
      </c>
      <c r="I14" s="313">
        <f t="shared" si="3"/>
        <v>0</v>
      </c>
      <c r="J14" s="318">
        <f t="shared" si="4"/>
        <v>-1</v>
      </c>
      <c r="K14" s="311">
        <v>0</v>
      </c>
      <c r="L14" s="314">
        <f t="shared" si="5"/>
        <v>-1</v>
      </c>
      <c r="M14" s="311">
        <v>0</v>
      </c>
      <c r="N14" s="314">
        <f t="shared" si="6"/>
        <v>-1</v>
      </c>
      <c r="O14" s="311">
        <v>0</v>
      </c>
      <c r="P14" s="314">
        <f t="shared" si="7"/>
        <v>-1</v>
      </c>
      <c r="Q14" s="313">
        <f t="shared" si="8"/>
        <v>0</v>
      </c>
      <c r="R14" s="318">
        <f t="shared" si="9"/>
        <v>-1</v>
      </c>
    </row>
    <row r="15" spans="1:18" ht="15" customHeight="1" x14ac:dyDescent="0.25">
      <c r="A15" s="470" t="s">
        <v>2</v>
      </c>
      <c r="B15" s="335">
        <f>SUM(B7:B14)</f>
        <v>2800</v>
      </c>
      <c r="C15" s="471">
        <f>SUM(C7:C14)</f>
        <v>160</v>
      </c>
      <c r="D15" s="314">
        <f t="shared" si="0"/>
        <v>-0.94285714285714284</v>
      </c>
      <c r="E15" s="471">
        <f>SUM(E7:E14)</f>
        <v>262</v>
      </c>
      <c r="F15" s="314">
        <f t="shared" si="1"/>
        <v>-0.90642857142857147</v>
      </c>
      <c r="G15" s="471">
        <f>SUM(G7:G14)</f>
        <v>118</v>
      </c>
      <c r="H15" s="314">
        <f t="shared" si="2"/>
        <v>-0.95785714285714285</v>
      </c>
      <c r="I15" s="313">
        <f t="shared" si="3"/>
        <v>540</v>
      </c>
      <c r="J15" s="318">
        <f t="shared" si="4"/>
        <v>-0.93571428571428572</v>
      </c>
      <c r="K15" s="471">
        <f>SUM(K7:K14)</f>
        <v>97</v>
      </c>
      <c r="L15" s="314">
        <f t="shared" si="5"/>
        <v>-0.9653571428571428</v>
      </c>
      <c r="M15" s="471">
        <f>SUM(M7:M14)</f>
        <v>0</v>
      </c>
      <c r="N15" s="314">
        <f t="shared" si="6"/>
        <v>-1</v>
      </c>
      <c r="O15" s="471">
        <f>SUM(O7:O14)</f>
        <v>128</v>
      </c>
      <c r="P15" s="314">
        <f t="shared" si="7"/>
        <v>-0.95428571428571429</v>
      </c>
      <c r="Q15" s="313">
        <f t="shared" si="8"/>
        <v>225</v>
      </c>
      <c r="R15" s="318">
        <f t="shared" si="9"/>
        <v>-0.9732142857142857</v>
      </c>
    </row>
    <row r="16" spans="1:18" ht="15" customHeight="1" x14ac:dyDescent="0.25"/>
    <row r="17" spans="1:18" ht="15.75" customHeight="1" x14ac:dyDescent="0.25">
      <c r="A17" s="809" t="s">
        <v>392</v>
      </c>
      <c r="B17" s="810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</row>
    <row r="18" spans="1:18" ht="24" customHeight="1" x14ac:dyDescent="0.25">
      <c r="A18" s="465" t="s">
        <v>8</v>
      </c>
      <c r="B18" s="485" t="s">
        <v>9</v>
      </c>
      <c r="C18" s="465" t="str">
        <f t="shared" ref="C18:R18" si="10">C6</f>
        <v>JUL</v>
      </c>
      <c r="D18" s="467" t="str">
        <f t="shared" si="10"/>
        <v>%</v>
      </c>
      <c r="E18" s="465" t="str">
        <f t="shared" si="10"/>
        <v>AGO</v>
      </c>
      <c r="F18" s="467" t="str">
        <f t="shared" si="10"/>
        <v>%</v>
      </c>
      <c r="G18" s="465" t="str">
        <f t="shared" si="10"/>
        <v>SET</v>
      </c>
      <c r="H18" s="467" t="str">
        <f t="shared" si="10"/>
        <v>%</v>
      </c>
      <c r="I18" s="468" t="str">
        <f t="shared" si="10"/>
        <v>Trimestre</v>
      </c>
      <c r="J18" s="468" t="str">
        <f t="shared" si="10"/>
        <v>%</v>
      </c>
      <c r="K18" s="465" t="str">
        <f t="shared" si="10"/>
        <v>OUT</v>
      </c>
      <c r="L18" s="467" t="str">
        <f t="shared" si="10"/>
        <v>%</v>
      </c>
      <c r="M18" s="465" t="str">
        <f t="shared" si="10"/>
        <v>NOV</v>
      </c>
      <c r="N18" s="467" t="str">
        <f t="shared" si="10"/>
        <v>%</v>
      </c>
      <c r="O18" s="465" t="str">
        <f t="shared" si="10"/>
        <v>DEZ</v>
      </c>
      <c r="P18" s="467" t="str">
        <f t="shared" si="10"/>
        <v>%</v>
      </c>
      <c r="Q18" s="468" t="str">
        <f t="shared" si="10"/>
        <v>Trimestre</v>
      </c>
      <c r="R18" s="468" t="str">
        <f t="shared" si="10"/>
        <v>%</v>
      </c>
    </row>
    <row r="19" spans="1:18" ht="15" customHeight="1" x14ac:dyDescent="0.25">
      <c r="A19" s="310" t="s">
        <v>242</v>
      </c>
      <c r="B19" s="335">
        <v>240</v>
      </c>
      <c r="C19" s="311">
        <v>93</v>
      </c>
      <c r="D19" s="314">
        <f>((C19/$B19))-1</f>
        <v>-0.61250000000000004</v>
      </c>
      <c r="E19" s="311">
        <v>90</v>
      </c>
      <c r="F19" s="314">
        <f>((E19/$B19))-1</f>
        <v>-0.625</v>
      </c>
      <c r="G19" s="311">
        <v>90</v>
      </c>
      <c r="H19" s="314">
        <f>((G19/$B19))-1</f>
        <v>-0.625</v>
      </c>
      <c r="I19" s="313">
        <f>C19+E19+G19</f>
        <v>273</v>
      </c>
      <c r="J19" s="318">
        <f>((I19/(3*$B19)))-1</f>
        <v>-0.62083333333333335</v>
      </c>
      <c r="K19" s="311">
        <v>59</v>
      </c>
      <c r="L19" s="314">
        <f>((K19/$B19))-1</f>
        <v>-0.75416666666666665</v>
      </c>
      <c r="M19" s="311">
        <v>0</v>
      </c>
      <c r="N19" s="314">
        <f>((M19/$B19))-1</f>
        <v>-1</v>
      </c>
      <c r="O19" s="311">
        <v>86</v>
      </c>
      <c r="P19" s="314">
        <f>((O19/$B19))-1</f>
        <v>-0.64166666666666661</v>
      </c>
      <c r="Q19" s="313">
        <f>K19+M19+O19</f>
        <v>145</v>
      </c>
      <c r="R19" s="318">
        <f>((Q19/(3*$B19)))-1</f>
        <v>-0.79861111111111116</v>
      </c>
    </row>
    <row r="20" spans="1:18" ht="15" customHeight="1" x14ac:dyDescent="0.25">
      <c r="A20" s="470" t="s">
        <v>2</v>
      </c>
      <c r="B20" s="335">
        <f>SUM(B19:B19)</f>
        <v>240</v>
      </c>
      <c r="C20" s="471">
        <f>C19</f>
        <v>93</v>
      </c>
      <c r="D20" s="314">
        <f>((C20/$B20))-1</f>
        <v>-0.61250000000000004</v>
      </c>
      <c r="E20" s="471">
        <f>E19</f>
        <v>90</v>
      </c>
      <c r="F20" s="314">
        <f>((E20/$B20))-1</f>
        <v>-0.625</v>
      </c>
      <c r="G20" s="471">
        <f>G19</f>
        <v>90</v>
      </c>
      <c r="H20" s="314">
        <f>((G20/$B20))-1</f>
        <v>-0.625</v>
      </c>
      <c r="I20" s="313">
        <f>C20+E20+G20</f>
        <v>273</v>
      </c>
      <c r="J20" s="318">
        <f>((I20/(3*$B20)))-1</f>
        <v>-0.62083333333333335</v>
      </c>
      <c r="K20" s="471">
        <f>K19</f>
        <v>59</v>
      </c>
      <c r="L20" s="314">
        <f>((K20/$B20))-1</f>
        <v>-0.75416666666666665</v>
      </c>
      <c r="M20" s="471">
        <f>M19</f>
        <v>0</v>
      </c>
      <c r="N20" s="314">
        <f>((M20/$B20))-1</f>
        <v>-1</v>
      </c>
      <c r="O20" s="471">
        <f>O19</f>
        <v>86</v>
      </c>
      <c r="P20" s="314">
        <f>((O20/$B20))-1</f>
        <v>-0.64166666666666661</v>
      </c>
      <c r="Q20" s="486">
        <f>Q19</f>
        <v>145</v>
      </c>
      <c r="R20" s="318">
        <f>((Q20/(3*$B20)))-1</f>
        <v>-0.79861111111111116</v>
      </c>
    </row>
    <row r="21" spans="1:18" ht="15" customHeight="1" x14ac:dyDescent="0.25"/>
    <row r="22" spans="1:18" ht="15.75" customHeight="1" x14ac:dyDescent="0.25">
      <c r="A22" s="850" t="s">
        <v>393</v>
      </c>
      <c r="B22" s="802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</row>
    <row r="23" spans="1:18" ht="24.75" customHeight="1" thickBot="1" x14ac:dyDescent="0.3">
      <c r="A23" s="120" t="s">
        <v>8</v>
      </c>
      <c r="B23" s="341" t="s">
        <v>9</v>
      </c>
      <c r="C23" s="325" t="str">
        <f t="shared" ref="C23:R23" si="11">C18</f>
        <v>JUL</v>
      </c>
      <c r="D23" s="326" t="str">
        <f t="shared" si="11"/>
        <v>%</v>
      </c>
      <c r="E23" s="325" t="str">
        <f t="shared" si="11"/>
        <v>AGO</v>
      </c>
      <c r="F23" s="326" t="str">
        <f t="shared" si="11"/>
        <v>%</v>
      </c>
      <c r="G23" s="325" t="str">
        <f t="shared" si="11"/>
        <v>SET</v>
      </c>
      <c r="H23" s="326" t="str">
        <f t="shared" si="11"/>
        <v>%</v>
      </c>
      <c r="I23" s="327" t="str">
        <f t="shared" si="11"/>
        <v>Trimestre</v>
      </c>
      <c r="J23" s="327" t="str">
        <f t="shared" si="11"/>
        <v>%</v>
      </c>
      <c r="K23" s="325" t="str">
        <f t="shared" si="11"/>
        <v>OUT</v>
      </c>
      <c r="L23" s="326" t="str">
        <f t="shared" si="11"/>
        <v>%</v>
      </c>
      <c r="M23" s="325" t="str">
        <f t="shared" si="11"/>
        <v>NOV</v>
      </c>
      <c r="N23" s="326" t="str">
        <f t="shared" si="11"/>
        <v>%</v>
      </c>
      <c r="O23" s="325" t="str">
        <f t="shared" si="11"/>
        <v>DEZ</v>
      </c>
      <c r="P23" s="326" t="str">
        <f t="shared" si="11"/>
        <v>%</v>
      </c>
      <c r="Q23" s="327" t="str">
        <f t="shared" si="11"/>
        <v>Trimestre</v>
      </c>
      <c r="R23" s="327" t="str">
        <f t="shared" si="11"/>
        <v>%</v>
      </c>
    </row>
    <row r="24" spans="1:18" ht="15.75" customHeight="1" thickTop="1" x14ac:dyDescent="0.25">
      <c r="A24" s="705" t="s">
        <v>244</v>
      </c>
      <c r="B24" s="335">
        <v>288</v>
      </c>
      <c r="C24" s="311">
        <v>143</v>
      </c>
      <c r="D24" s="314">
        <f t="shared" ref="D24:D35" si="12">((C24/$B24))-1</f>
        <v>-0.50347222222222221</v>
      </c>
      <c r="E24" s="311">
        <v>196</v>
      </c>
      <c r="F24" s="314">
        <f t="shared" ref="F24:F35" si="13">((E24/$B24))-1</f>
        <v>-0.31944444444444442</v>
      </c>
      <c r="G24" s="311">
        <v>159</v>
      </c>
      <c r="H24" s="314">
        <f t="shared" ref="H24:H35" si="14">((G24/$B24))-1</f>
        <v>-0.44791666666666663</v>
      </c>
      <c r="I24" s="313">
        <f t="shared" ref="I24:I35" si="15">C24+E24+G24</f>
        <v>498</v>
      </c>
      <c r="J24" s="318">
        <f t="shared" ref="J24:J35" si="16">((I24/(3*$B24)))-1</f>
        <v>-0.42361111111111116</v>
      </c>
      <c r="K24" s="311">
        <v>108</v>
      </c>
      <c r="L24" s="314">
        <f t="shared" ref="L24:L35" si="17">((K24/$B24))-1</f>
        <v>-0.625</v>
      </c>
      <c r="M24" s="311">
        <v>117</v>
      </c>
      <c r="N24" s="314">
        <f t="shared" ref="N24:N35" si="18">((M24/$B24))-1</f>
        <v>-0.59375</v>
      </c>
      <c r="O24" s="311">
        <v>106</v>
      </c>
      <c r="P24" s="314">
        <f t="shared" ref="P24:P35" si="19">((O24/$B24))-1</f>
        <v>-0.63194444444444442</v>
      </c>
      <c r="Q24" s="313">
        <f t="shared" ref="Q24:Q35" si="20">K24+M24+O24</f>
        <v>331</v>
      </c>
      <c r="R24" s="318">
        <f t="shared" ref="R24:R35" si="21">((Q24/(3*$B24)))-1</f>
        <v>-0.61689814814814814</v>
      </c>
    </row>
    <row r="25" spans="1:18" ht="15" customHeight="1" x14ac:dyDescent="0.25">
      <c r="A25" s="310" t="s">
        <v>245</v>
      </c>
      <c r="B25" s="342">
        <v>480</v>
      </c>
      <c r="C25" s="329">
        <v>177</v>
      </c>
      <c r="D25" s="314">
        <f t="shared" si="12"/>
        <v>-0.63124999999999998</v>
      </c>
      <c r="E25" s="329">
        <v>291</v>
      </c>
      <c r="F25" s="314">
        <f t="shared" si="13"/>
        <v>-0.39375000000000004</v>
      </c>
      <c r="G25" s="329">
        <v>216</v>
      </c>
      <c r="H25" s="330">
        <f t="shared" si="14"/>
        <v>-0.55000000000000004</v>
      </c>
      <c r="I25" s="331">
        <f t="shared" si="15"/>
        <v>684</v>
      </c>
      <c r="J25" s="332">
        <f t="shared" si="16"/>
        <v>-0.52500000000000002</v>
      </c>
      <c r="K25" s="329">
        <v>121</v>
      </c>
      <c r="L25" s="330">
        <f t="shared" si="17"/>
        <v>-0.74791666666666667</v>
      </c>
      <c r="M25" s="329">
        <v>126</v>
      </c>
      <c r="N25" s="330">
        <f t="shared" si="18"/>
        <v>-0.73750000000000004</v>
      </c>
      <c r="O25" s="329">
        <v>108</v>
      </c>
      <c r="P25" s="330">
        <f t="shared" si="19"/>
        <v>-0.77500000000000002</v>
      </c>
      <c r="Q25" s="331">
        <f t="shared" si="20"/>
        <v>355</v>
      </c>
      <c r="R25" s="332">
        <f t="shared" si="21"/>
        <v>-0.75347222222222221</v>
      </c>
    </row>
    <row r="26" spans="1:18" ht="15" customHeight="1" x14ac:dyDescent="0.25">
      <c r="A26" s="310" t="s">
        <v>246</v>
      </c>
      <c r="B26" s="342">
        <v>100</v>
      </c>
      <c r="C26" s="329">
        <v>57</v>
      </c>
      <c r="D26" s="314">
        <f t="shared" si="12"/>
        <v>-0.43000000000000005</v>
      </c>
      <c r="E26" s="329">
        <v>60</v>
      </c>
      <c r="F26" s="314">
        <f t="shared" si="13"/>
        <v>-0.4</v>
      </c>
      <c r="G26" s="329">
        <v>64</v>
      </c>
      <c r="H26" s="330">
        <f t="shared" si="14"/>
        <v>-0.36</v>
      </c>
      <c r="I26" s="331">
        <f t="shared" si="15"/>
        <v>181</v>
      </c>
      <c r="J26" s="332">
        <f t="shared" si="16"/>
        <v>-0.39666666666666661</v>
      </c>
      <c r="K26" s="329">
        <v>45</v>
      </c>
      <c r="L26" s="330">
        <f t="shared" si="17"/>
        <v>-0.55000000000000004</v>
      </c>
      <c r="M26" s="329">
        <v>38</v>
      </c>
      <c r="N26" s="330">
        <f t="shared" si="18"/>
        <v>-0.62</v>
      </c>
      <c r="O26" s="329">
        <v>38</v>
      </c>
      <c r="P26" s="330">
        <f t="shared" si="19"/>
        <v>-0.62</v>
      </c>
      <c r="Q26" s="331">
        <f t="shared" si="20"/>
        <v>121</v>
      </c>
      <c r="R26" s="332">
        <f t="shared" si="21"/>
        <v>-0.59666666666666668</v>
      </c>
    </row>
    <row r="27" spans="1:18" ht="15" customHeight="1" x14ac:dyDescent="0.25">
      <c r="A27" s="310" t="s">
        <v>247</v>
      </c>
      <c r="B27" s="335">
        <v>40</v>
      </c>
      <c r="C27" s="311">
        <v>41</v>
      </c>
      <c r="D27" s="314">
        <f t="shared" si="12"/>
        <v>2.4999999999999911E-2</v>
      </c>
      <c r="E27" s="311">
        <v>17</v>
      </c>
      <c r="F27" s="314">
        <f t="shared" si="13"/>
        <v>-0.57499999999999996</v>
      </c>
      <c r="G27" s="311">
        <v>37</v>
      </c>
      <c r="H27" s="314">
        <f t="shared" si="14"/>
        <v>-7.4999999999999956E-2</v>
      </c>
      <c r="I27" s="331">
        <f t="shared" si="15"/>
        <v>95</v>
      </c>
      <c r="J27" s="332">
        <f t="shared" si="16"/>
        <v>-0.20833333333333337</v>
      </c>
      <c r="K27" s="311">
        <v>23</v>
      </c>
      <c r="L27" s="314">
        <f t="shared" si="17"/>
        <v>-0.42500000000000004</v>
      </c>
      <c r="M27" s="311">
        <v>22</v>
      </c>
      <c r="N27" s="314">
        <f t="shared" si="18"/>
        <v>-0.44999999999999996</v>
      </c>
      <c r="O27" s="311">
        <v>20</v>
      </c>
      <c r="P27" s="314">
        <f t="shared" si="19"/>
        <v>-0.5</v>
      </c>
      <c r="Q27" s="331">
        <f t="shared" si="20"/>
        <v>65</v>
      </c>
      <c r="R27" s="332">
        <f t="shared" si="21"/>
        <v>-0.45833333333333337</v>
      </c>
    </row>
    <row r="28" spans="1:18" ht="15" customHeight="1" x14ac:dyDescent="0.25">
      <c r="A28" s="310" t="s">
        <v>248</v>
      </c>
      <c r="B28" s="335">
        <v>192</v>
      </c>
      <c r="C28" s="311">
        <v>53</v>
      </c>
      <c r="D28" s="314">
        <f t="shared" si="12"/>
        <v>-0.72395833333333326</v>
      </c>
      <c r="E28" s="311">
        <v>50</v>
      </c>
      <c r="F28" s="314">
        <f t="shared" si="13"/>
        <v>-0.73958333333333326</v>
      </c>
      <c r="G28" s="311">
        <v>41</v>
      </c>
      <c r="H28" s="314">
        <f t="shared" si="14"/>
        <v>-0.78645833333333337</v>
      </c>
      <c r="I28" s="331">
        <f t="shared" si="15"/>
        <v>144</v>
      </c>
      <c r="J28" s="332">
        <f t="shared" si="16"/>
        <v>-0.75</v>
      </c>
      <c r="K28" s="311">
        <v>38</v>
      </c>
      <c r="L28" s="314">
        <f t="shared" si="17"/>
        <v>-0.80208333333333337</v>
      </c>
      <c r="M28" s="311">
        <v>43</v>
      </c>
      <c r="N28" s="314">
        <f t="shared" si="18"/>
        <v>-0.77604166666666663</v>
      </c>
      <c r="O28" s="311">
        <v>44</v>
      </c>
      <c r="P28" s="314">
        <f t="shared" si="19"/>
        <v>-0.77083333333333337</v>
      </c>
      <c r="Q28" s="331">
        <f t="shared" si="20"/>
        <v>125</v>
      </c>
      <c r="R28" s="332">
        <f t="shared" si="21"/>
        <v>-0.78298611111111116</v>
      </c>
    </row>
    <row r="29" spans="1:18" ht="15" customHeight="1" x14ac:dyDescent="0.25">
      <c r="A29" s="323" t="s">
        <v>250</v>
      </c>
      <c r="B29" s="342">
        <v>240</v>
      </c>
      <c r="C29" s="329">
        <v>38</v>
      </c>
      <c r="D29" s="314">
        <f t="shared" si="12"/>
        <v>-0.84166666666666667</v>
      </c>
      <c r="E29" s="329">
        <v>185</v>
      </c>
      <c r="F29" s="314">
        <f t="shared" si="13"/>
        <v>-0.22916666666666663</v>
      </c>
      <c r="G29" s="329">
        <v>151</v>
      </c>
      <c r="H29" s="314">
        <f t="shared" si="14"/>
        <v>-0.37083333333333335</v>
      </c>
      <c r="I29" s="331">
        <f t="shared" si="15"/>
        <v>374</v>
      </c>
      <c r="J29" s="332">
        <f t="shared" si="16"/>
        <v>-0.48055555555555551</v>
      </c>
      <c r="K29" s="329">
        <v>141</v>
      </c>
      <c r="L29" s="314">
        <f t="shared" si="17"/>
        <v>-0.41249999999999998</v>
      </c>
      <c r="M29" s="329">
        <v>127</v>
      </c>
      <c r="N29" s="314">
        <f t="shared" si="18"/>
        <v>-0.47083333333333333</v>
      </c>
      <c r="O29" s="329">
        <v>118</v>
      </c>
      <c r="P29" s="314">
        <f t="shared" si="19"/>
        <v>-0.5083333333333333</v>
      </c>
      <c r="Q29" s="331">
        <f t="shared" si="20"/>
        <v>386</v>
      </c>
      <c r="R29" s="332">
        <f t="shared" si="21"/>
        <v>-0.46388888888888891</v>
      </c>
    </row>
    <row r="30" spans="1:18" ht="15" customHeight="1" x14ac:dyDescent="0.25">
      <c r="A30" s="323" t="s">
        <v>249</v>
      </c>
      <c r="B30" s="342">
        <v>288</v>
      </c>
      <c r="C30" s="329">
        <v>137</v>
      </c>
      <c r="D30" s="330">
        <f t="shared" si="12"/>
        <v>-0.52430555555555558</v>
      </c>
      <c r="E30" s="329">
        <v>45</v>
      </c>
      <c r="F30" s="330">
        <f t="shared" si="13"/>
        <v>-0.84375</v>
      </c>
      <c r="G30" s="329">
        <v>74</v>
      </c>
      <c r="H30" s="330">
        <f t="shared" si="14"/>
        <v>-0.74305555555555558</v>
      </c>
      <c r="I30" s="331">
        <f t="shared" si="15"/>
        <v>256</v>
      </c>
      <c r="J30" s="332">
        <f t="shared" si="16"/>
        <v>-0.70370370370370372</v>
      </c>
      <c r="K30" s="329">
        <v>66</v>
      </c>
      <c r="L30" s="330">
        <f t="shared" si="17"/>
        <v>-0.77083333333333337</v>
      </c>
      <c r="M30" s="329">
        <v>92</v>
      </c>
      <c r="N30" s="330">
        <f t="shared" si="18"/>
        <v>-0.68055555555555558</v>
      </c>
      <c r="O30" s="329">
        <v>69</v>
      </c>
      <c r="P30" s="330">
        <f t="shared" si="19"/>
        <v>-0.76041666666666663</v>
      </c>
      <c r="Q30" s="331">
        <f t="shared" si="20"/>
        <v>227</v>
      </c>
      <c r="R30" s="332">
        <f t="shared" si="21"/>
        <v>-0.7372685185185186</v>
      </c>
    </row>
    <row r="31" spans="1:18" ht="15" customHeight="1" x14ac:dyDescent="0.25">
      <c r="A31" s="310" t="s">
        <v>251</v>
      </c>
      <c r="B31" s="335">
        <v>48</v>
      </c>
      <c r="C31" s="311">
        <v>0</v>
      </c>
      <c r="D31" s="330">
        <f t="shared" si="12"/>
        <v>-1</v>
      </c>
      <c r="E31" s="311">
        <v>0</v>
      </c>
      <c r="F31" s="330">
        <f t="shared" si="13"/>
        <v>-1</v>
      </c>
      <c r="G31" s="311">
        <v>0</v>
      </c>
      <c r="H31" s="330">
        <f t="shared" si="14"/>
        <v>-1</v>
      </c>
      <c r="I31" s="331">
        <f t="shared" si="15"/>
        <v>0</v>
      </c>
      <c r="J31" s="332">
        <f t="shared" si="16"/>
        <v>-1</v>
      </c>
      <c r="K31" s="311">
        <v>0</v>
      </c>
      <c r="L31" s="330">
        <f t="shared" si="17"/>
        <v>-1</v>
      </c>
      <c r="M31" s="311">
        <v>0</v>
      </c>
      <c r="N31" s="330">
        <f t="shared" si="18"/>
        <v>-1</v>
      </c>
      <c r="O31" s="311">
        <v>0</v>
      </c>
      <c r="P31" s="330">
        <f t="shared" si="19"/>
        <v>-1</v>
      </c>
      <c r="Q31" s="331">
        <f t="shared" si="20"/>
        <v>0</v>
      </c>
      <c r="R31" s="332">
        <f t="shared" si="21"/>
        <v>-1</v>
      </c>
    </row>
    <row r="32" spans="1:18" ht="15" customHeight="1" x14ac:dyDescent="0.25">
      <c r="A32" s="310" t="s">
        <v>252</v>
      </c>
      <c r="B32" s="335">
        <v>96</v>
      </c>
      <c r="C32" s="311">
        <v>51</v>
      </c>
      <c r="D32" s="330">
        <f t="shared" si="12"/>
        <v>-0.46875</v>
      </c>
      <c r="E32" s="311">
        <v>69</v>
      </c>
      <c r="F32" s="330">
        <f t="shared" si="13"/>
        <v>-0.28125</v>
      </c>
      <c r="G32" s="311">
        <v>58</v>
      </c>
      <c r="H32" s="330">
        <f t="shared" si="14"/>
        <v>-0.39583333333333337</v>
      </c>
      <c r="I32" s="331">
        <f t="shared" si="15"/>
        <v>178</v>
      </c>
      <c r="J32" s="332">
        <f t="shared" si="16"/>
        <v>-0.38194444444444442</v>
      </c>
      <c r="K32" s="311">
        <v>37</v>
      </c>
      <c r="L32" s="330">
        <f t="shared" si="17"/>
        <v>-0.61458333333333326</v>
      </c>
      <c r="M32" s="311">
        <v>33</v>
      </c>
      <c r="N32" s="330">
        <f t="shared" si="18"/>
        <v>-0.65625</v>
      </c>
      <c r="O32" s="311">
        <v>28</v>
      </c>
      <c r="P32" s="330">
        <f t="shared" si="19"/>
        <v>-0.70833333333333326</v>
      </c>
      <c r="Q32" s="331">
        <f t="shared" si="20"/>
        <v>98</v>
      </c>
      <c r="R32" s="332">
        <f t="shared" si="21"/>
        <v>-0.65972222222222221</v>
      </c>
    </row>
    <row r="33" spans="1:18" ht="15" customHeight="1" x14ac:dyDescent="0.25">
      <c r="A33" s="310" t="s">
        <v>243</v>
      </c>
      <c r="B33" s="335">
        <v>864</v>
      </c>
      <c r="C33" s="311">
        <v>804</v>
      </c>
      <c r="D33" s="330">
        <f t="shared" si="12"/>
        <v>-6.944444444444442E-2</v>
      </c>
      <c r="E33" s="311">
        <v>829</v>
      </c>
      <c r="F33" s="330">
        <f t="shared" si="13"/>
        <v>-4.05092592592593E-2</v>
      </c>
      <c r="G33" s="311">
        <v>808</v>
      </c>
      <c r="H33" s="330">
        <f t="shared" si="14"/>
        <v>-6.481481481481477E-2</v>
      </c>
      <c r="I33" s="331">
        <f t="shared" si="15"/>
        <v>2441</v>
      </c>
      <c r="J33" s="332">
        <f t="shared" si="16"/>
        <v>-5.8256172839506126E-2</v>
      </c>
      <c r="K33" s="311">
        <v>716</v>
      </c>
      <c r="L33" s="330">
        <f t="shared" si="17"/>
        <v>-0.17129629629629628</v>
      </c>
      <c r="M33" s="311">
        <v>734</v>
      </c>
      <c r="N33" s="330">
        <f t="shared" si="18"/>
        <v>-0.15046296296296291</v>
      </c>
      <c r="O33" s="311">
        <v>694</v>
      </c>
      <c r="P33" s="330">
        <f t="shared" si="19"/>
        <v>-0.1967592592592593</v>
      </c>
      <c r="Q33" s="331">
        <f t="shared" si="20"/>
        <v>2144</v>
      </c>
      <c r="R33" s="332">
        <f t="shared" si="21"/>
        <v>-0.1728395061728395</v>
      </c>
    </row>
    <row r="34" spans="1:18" ht="15.75" customHeight="1" thickBot="1" x14ac:dyDescent="0.3">
      <c r="A34" s="323" t="s">
        <v>253</v>
      </c>
      <c r="B34" s="342">
        <v>288</v>
      </c>
      <c r="C34" s="329">
        <v>212</v>
      </c>
      <c r="D34" s="330">
        <f t="shared" si="12"/>
        <v>-0.26388888888888884</v>
      </c>
      <c r="E34" s="329">
        <v>288</v>
      </c>
      <c r="F34" s="330">
        <f t="shared" si="13"/>
        <v>0</v>
      </c>
      <c r="G34" s="329">
        <v>265</v>
      </c>
      <c r="H34" s="330">
        <f t="shared" si="14"/>
        <v>-7.986111111111116E-2</v>
      </c>
      <c r="I34" s="331">
        <f t="shared" si="15"/>
        <v>765</v>
      </c>
      <c r="J34" s="332">
        <f t="shared" si="16"/>
        <v>-0.11458333333333337</v>
      </c>
      <c r="K34" s="329">
        <v>106</v>
      </c>
      <c r="L34" s="330">
        <f t="shared" si="17"/>
        <v>-0.63194444444444442</v>
      </c>
      <c r="M34" s="329">
        <v>139</v>
      </c>
      <c r="N34" s="330">
        <f t="shared" si="18"/>
        <v>-0.51736111111111116</v>
      </c>
      <c r="O34" s="329">
        <v>111</v>
      </c>
      <c r="P34" s="330">
        <f t="shared" si="19"/>
        <v>-0.61458333333333326</v>
      </c>
      <c r="Q34" s="331">
        <f t="shared" si="20"/>
        <v>356</v>
      </c>
      <c r="R34" s="332">
        <f t="shared" si="21"/>
        <v>-0.58796296296296302</v>
      </c>
    </row>
    <row r="35" spans="1:18" ht="15.75" customHeight="1" thickBot="1" x14ac:dyDescent="0.3">
      <c r="A35" s="50" t="s">
        <v>2</v>
      </c>
      <c r="B35" s="370">
        <f>SUM(B24:B34)</f>
        <v>2924</v>
      </c>
      <c r="C35" s="54">
        <f>SUM(C24:C34)</f>
        <v>1713</v>
      </c>
      <c r="D35" s="59">
        <f t="shared" si="12"/>
        <v>-0.41415868673050615</v>
      </c>
      <c r="E35" s="54">
        <f>SUM(E24:E34)</f>
        <v>2030</v>
      </c>
      <c r="F35" s="59">
        <f t="shared" si="13"/>
        <v>-0.30574555403556769</v>
      </c>
      <c r="G35" s="54">
        <f>SUM(G24:G34)</f>
        <v>1873</v>
      </c>
      <c r="H35" s="371">
        <f t="shared" si="14"/>
        <v>-0.3594391244870041</v>
      </c>
      <c r="I35" s="372">
        <f t="shared" si="15"/>
        <v>5616</v>
      </c>
      <c r="J35" s="373">
        <f t="shared" si="16"/>
        <v>-0.35978112175102595</v>
      </c>
      <c r="K35" s="54">
        <f>SUM(K24:K34)</f>
        <v>1401</v>
      </c>
      <c r="L35" s="59">
        <f t="shared" si="17"/>
        <v>-0.52086183310533518</v>
      </c>
      <c r="M35" s="54">
        <f>SUM(M24:M34)</f>
        <v>1471</v>
      </c>
      <c r="N35" s="59">
        <f t="shared" si="18"/>
        <v>-0.49692202462380297</v>
      </c>
      <c r="O35" s="54">
        <f>SUM(O24:O34)</f>
        <v>1336</v>
      </c>
      <c r="P35" s="371">
        <f t="shared" si="19"/>
        <v>-0.54309165526675784</v>
      </c>
      <c r="Q35" s="372">
        <f t="shared" si="20"/>
        <v>4208</v>
      </c>
      <c r="R35" s="373">
        <f t="shared" si="21"/>
        <v>-0.52029183766529874</v>
      </c>
    </row>
    <row r="36" spans="1:18" ht="15" customHeight="1" x14ac:dyDescent="0.25"/>
  </sheetData>
  <mergeCells count="5">
    <mergeCell ref="A5:R5"/>
    <mergeCell ref="A17:R17"/>
    <mergeCell ref="A2:R2"/>
    <mergeCell ref="A3:R3"/>
    <mergeCell ref="A22:R22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CC66"/>
  </sheetPr>
  <dimension ref="A2:R198"/>
  <sheetViews>
    <sheetView showGridLines="0" view="pageBreakPreview" topLeftCell="B1" zoomScaleNormal="100" zoomScaleSheetLayoutView="100" workbookViewId="0">
      <selection activeCell="M166" sqref="M166"/>
    </sheetView>
  </sheetViews>
  <sheetFormatPr defaultRowHeight="15" x14ac:dyDescent="0.25"/>
  <cols>
    <col min="1" max="1" width="26.42578125" style="488" customWidth="1"/>
    <col min="2" max="3" width="9.28515625" style="488" bestFit="1" customWidth="1"/>
    <col min="4" max="4" width="11.140625" style="488" bestFit="1" customWidth="1"/>
    <col min="5" max="5" width="9.28515625" style="488" bestFit="1" customWidth="1"/>
    <col min="6" max="6" width="11.140625" style="488" bestFit="1" customWidth="1"/>
    <col min="7" max="7" width="9.28515625" style="488" bestFit="1" customWidth="1"/>
    <col min="8" max="8" width="11.140625" style="488" bestFit="1" customWidth="1"/>
    <col min="9" max="9" width="9.28515625" style="488" bestFit="1" customWidth="1"/>
    <col min="10" max="10" width="11.140625" style="488" bestFit="1" customWidth="1"/>
    <col min="11" max="11" width="9.28515625" style="488" bestFit="1" customWidth="1"/>
    <col min="12" max="12" width="11.140625" style="488" bestFit="1" customWidth="1"/>
    <col min="13" max="13" width="9.28515625" style="488" bestFit="1" customWidth="1"/>
    <col min="14" max="14" width="11.140625" style="488" bestFit="1" customWidth="1"/>
    <col min="15" max="16" width="9.7109375" style="488" customWidth="1"/>
    <col min="17" max="17" width="9.28515625" style="488" bestFit="1" customWidth="1"/>
    <col min="18" max="18" width="11.140625" style="488" bestFit="1" customWidth="1"/>
    <col min="19" max="16384" width="9.140625" style="488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30" t="s">
        <v>133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</row>
    <row r="4" spans="1:18" ht="8.25" customHeight="1" x14ac:dyDescent="0.25"/>
    <row r="5" spans="1:18" ht="8.25" customHeight="1" x14ac:dyDescent="0.25"/>
    <row r="6" spans="1:18" ht="15.75" x14ac:dyDescent="0.25">
      <c r="A6" s="829" t="s">
        <v>339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</row>
    <row r="7" spans="1:18" ht="24" x14ac:dyDescent="0.25">
      <c r="A7" s="489" t="s">
        <v>8</v>
      </c>
      <c r="B7" s="490" t="s">
        <v>9</v>
      </c>
      <c r="C7" s="489" t="str">
        <f>C19</f>
        <v>JAN</v>
      </c>
      <c r="D7" s="491" t="s">
        <v>1</v>
      </c>
      <c r="E7" s="489" t="str">
        <f>E19</f>
        <v>FEV</v>
      </c>
      <c r="F7" s="491" t="s">
        <v>1</v>
      </c>
      <c r="G7" s="489" t="str">
        <f>G19</f>
        <v>MAR</v>
      </c>
      <c r="H7" s="491" t="s">
        <v>1</v>
      </c>
      <c r="I7" s="492" t="s">
        <v>138</v>
      </c>
      <c r="J7" s="492" t="s">
        <v>1</v>
      </c>
      <c r="K7" s="489" t="str">
        <f>K19</f>
        <v>ABR</v>
      </c>
      <c r="L7" s="491" t="s">
        <v>1</v>
      </c>
      <c r="M7" s="489" t="str">
        <f>M19</f>
        <v>MAI</v>
      </c>
      <c r="N7" s="491" t="s">
        <v>1</v>
      </c>
      <c r="O7" s="489" t="str">
        <f>O19</f>
        <v>JUN</v>
      </c>
      <c r="P7" s="491" t="s">
        <v>1</v>
      </c>
      <c r="Q7" s="492" t="s">
        <v>138</v>
      </c>
      <c r="R7" s="492" t="s">
        <v>1</v>
      </c>
    </row>
    <row r="8" spans="1:18" x14ac:dyDescent="0.25">
      <c r="A8" s="493" t="str">
        <f>'UBS Vila Dalva 1° SEM'!A7</f>
        <v>ACS</v>
      </c>
      <c r="B8" s="494">
        <f>'UBS Vila Dalva 1° SEM'!B7</f>
        <v>6720</v>
      </c>
      <c r="C8" s="495">
        <f>'UBS Vila Dalva 1° SEM'!C7</f>
        <v>4571</v>
      </c>
      <c r="D8" s="496">
        <f>'UBS Vila Dalva 1° SEM'!D7</f>
        <v>-0.3197916666666667</v>
      </c>
      <c r="E8" s="495">
        <f>'UBS Vila Dalva 1° SEM'!E7</f>
        <v>5171</v>
      </c>
      <c r="F8" s="496">
        <f>'UBS Vila Dalva 1° SEM'!F7</f>
        <v>-0.23050595238095239</v>
      </c>
      <c r="G8" s="495">
        <f>'UBS Vila Dalva 1° SEM'!G7</f>
        <v>5842</v>
      </c>
      <c r="H8" s="496">
        <f>'UBS Vila Dalva 1° SEM'!H7</f>
        <v>-0.13065476190476188</v>
      </c>
      <c r="I8" s="497">
        <f>'UBS Vila Dalva 1° SEM'!I7</f>
        <v>15584</v>
      </c>
      <c r="J8" s="498">
        <f>'UBS Vila Dalva 1° SEM'!J7</f>
        <v>-0.22698412698412695</v>
      </c>
      <c r="K8" s="495">
        <f>'UBS Vila Dalva 1° SEM'!K7</f>
        <v>4813</v>
      </c>
      <c r="L8" s="496">
        <f>'UBS Vila Dalva 1° SEM'!L7</f>
        <v>-0.28377976190476195</v>
      </c>
      <c r="M8" s="495">
        <f>'UBS Vila Dalva 1° SEM'!M7</f>
        <v>5332</v>
      </c>
      <c r="N8" s="496">
        <f>'UBS Vila Dalva 1° SEM'!N7</f>
        <v>-0.20654761904761909</v>
      </c>
      <c r="O8" s="495">
        <f>'UBS Vila Dalva 1° SEM'!O7</f>
        <v>5122</v>
      </c>
      <c r="P8" s="496">
        <f>'UBS Vila Dalva 1° SEM'!P7</f>
        <v>-0.23779761904761909</v>
      </c>
      <c r="Q8" s="497">
        <f>'UBS Vila Dalva 1° SEM'!Q7</f>
        <v>15267</v>
      </c>
      <c r="R8" s="498">
        <f>'UBS Vila Dalva 1° SEM'!R7</f>
        <v>-0.2427083333333333</v>
      </c>
    </row>
    <row r="9" spans="1:18" x14ac:dyDescent="0.25">
      <c r="A9" s="493" t="str">
        <f>'UBS Vila Dalva 1° SEM'!A8</f>
        <v>Médico Generalista</v>
      </c>
      <c r="B9" s="494">
        <f>'UBS Vila Dalva 1° SEM'!B8</f>
        <v>2080</v>
      </c>
      <c r="C9" s="495">
        <f>'UBS Vila Dalva 1° SEM'!C8</f>
        <v>622</v>
      </c>
      <c r="D9" s="496">
        <f>'UBS Vila Dalva 1° SEM'!D8</f>
        <v>-0.70096153846153841</v>
      </c>
      <c r="E9" s="495">
        <f>'UBS Vila Dalva 1° SEM'!E8</f>
        <v>710</v>
      </c>
      <c r="F9" s="496">
        <f>'UBS Vila Dalva 1° SEM'!F8</f>
        <v>-0.65865384615384615</v>
      </c>
      <c r="G9" s="495">
        <f>'UBS Vila Dalva 1° SEM'!G8</f>
        <v>1684</v>
      </c>
      <c r="H9" s="496">
        <f>'UBS Vila Dalva 1° SEM'!H8</f>
        <v>-0.19038461538461537</v>
      </c>
      <c r="I9" s="497">
        <f>'UBS Vila Dalva 1° SEM'!I8</f>
        <v>3016</v>
      </c>
      <c r="J9" s="498">
        <f>'UBS Vila Dalva 1° SEM'!J8</f>
        <v>-0.51666666666666661</v>
      </c>
      <c r="K9" s="495">
        <f>'UBS Vila Dalva 1° SEM'!K8</f>
        <v>1458</v>
      </c>
      <c r="L9" s="496">
        <f>'UBS Vila Dalva 1° SEM'!L8</f>
        <v>-0.29903846153846159</v>
      </c>
      <c r="M9" s="495">
        <f>'UBS Vila Dalva 1° SEM'!M8</f>
        <v>2157</v>
      </c>
      <c r="N9" s="496">
        <f>'UBS Vila Dalva 1° SEM'!N8</f>
        <v>3.7019230769230749E-2</v>
      </c>
      <c r="O9" s="495">
        <f>'UBS Vila Dalva 1° SEM'!O8</f>
        <v>1788</v>
      </c>
      <c r="P9" s="496">
        <f>'UBS Vila Dalva 1° SEM'!P8</f>
        <v>-0.14038461538461533</v>
      </c>
      <c r="Q9" s="497">
        <f>'UBS Vila Dalva 1° SEM'!Q8</f>
        <v>5403</v>
      </c>
      <c r="R9" s="498">
        <f>'UBS Vila Dalva 1° SEM'!R8</f>
        <v>-0.13413461538461535</v>
      </c>
    </row>
    <row r="10" spans="1:18" x14ac:dyDescent="0.25">
      <c r="A10" s="493" t="str">
        <f>'UBS Vila Dalva 1° SEM'!A9</f>
        <v>Enfermeiro - ESF</v>
      </c>
      <c r="B10" s="494">
        <f>'UBS Vila Dalva 1° SEM'!B9</f>
        <v>780</v>
      </c>
      <c r="C10" s="495">
        <f>'UBS Vila Dalva 1° SEM'!C9</f>
        <v>444</v>
      </c>
      <c r="D10" s="496">
        <f>'UBS Vila Dalva 1° SEM'!D9</f>
        <v>-0.43076923076923079</v>
      </c>
      <c r="E10" s="495">
        <f>'UBS Vila Dalva 1° SEM'!E9</f>
        <v>522</v>
      </c>
      <c r="F10" s="496">
        <f>'UBS Vila Dalva 1° SEM'!F9</f>
        <v>-0.33076923076923082</v>
      </c>
      <c r="G10" s="495">
        <f>'UBS Vila Dalva 1° SEM'!G9</f>
        <v>698</v>
      </c>
      <c r="H10" s="496">
        <f>'UBS Vila Dalva 1° SEM'!H9</f>
        <v>-0.10512820512820509</v>
      </c>
      <c r="I10" s="497">
        <f>'UBS Vila Dalva 1° SEM'!I9</f>
        <v>1664</v>
      </c>
      <c r="J10" s="498">
        <f>'UBS Vila Dalva 1° SEM'!J9</f>
        <v>-0.28888888888888886</v>
      </c>
      <c r="K10" s="495">
        <f>'UBS Vila Dalva 1° SEM'!K9</f>
        <v>707</v>
      </c>
      <c r="L10" s="496">
        <f>'UBS Vila Dalva 1° SEM'!L9</f>
        <v>-9.358974358974359E-2</v>
      </c>
      <c r="M10" s="495">
        <f>'UBS Vila Dalva 1° SEM'!M9</f>
        <v>869</v>
      </c>
      <c r="N10" s="496">
        <f>'UBS Vila Dalva 1° SEM'!N9</f>
        <v>0.11410256410256414</v>
      </c>
      <c r="O10" s="495">
        <f>'UBS Vila Dalva 1° SEM'!O9</f>
        <v>764</v>
      </c>
      <c r="P10" s="496">
        <f>'UBS Vila Dalva 1° SEM'!P9</f>
        <v>-2.0512820512820551E-2</v>
      </c>
      <c r="Q10" s="497">
        <f>'UBS Vila Dalva 1° SEM'!Q9</f>
        <v>2340</v>
      </c>
      <c r="R10" s="498">
        <f>'UBS Vila Dalva 1° SEM'!R9</f>
        <v>0</v>
      </c>
    </row>
    <row r="11" spans="1:18" ht="24" x14ac:dyDescent="0.25">
      <c r="A11" s="493" t="str">
        <f>'UBS Vila Dalva 1° SEM'!A10</f>
        <v>Cirurgião Dentista - ESB II (atendimento individual)</v>
      </c>
      <c r="B11" s="494">
        <f>'UBS Vila Dalva 1° SEM'!B10</f>
        <v>432</v>
      </c>
      <c r="C11" s="495">
        <f>'UBS Vila Dalva 1° SEM'!C10</f>
        <v>186</v>
      </c>
      <c r="D11" s="496">
        <f>'UBS Vila Dalva 1° SEM'!D10</f>
        <v>-0.56944444444444442</v>
      </c>
      <c r="E11" s="495">
        <f>'UBS Vila Dalva 1° SEM'!E10</f>
        <v>246</v>
      </c>
      <c r="F11" s="496">
        <f>'UBS Vila Dalva 1° SEM'!F10</f>
        <v>-0.43055555555555558</v>
      </c>
      <c r="G11" s="495">
        <f>'UBS Vila Dalva 1° SEM'!G10</f>
        <v>591</v>
      </c>
      <c r="H11" s="496">
        <f>'UBS Vila Dalva 1° SEM'!H10</f>
        <v>0.36805555555555558</v>
      </c>
      <c r="I11" s="497">
        <f>'UBS Vila Dalva 1° SEM'!I10</f>
        <v>1023</v>
      </c>
      <c r="J11" s="498">
        <f>'UBS Vila Dalva 1° SEM'!J10</f>
        <v>-0.21064814814814814</v>
      </c>
      <c r="K11" s="495">
        <f>'UBS Vila Dalva 1° SEM'!K10</f>
        <v>384</v>
      </c>
      <c r="L11" s="496">
        <f>'UBS Vila Dalva 1° SEM'!L10</f>
        <v>-0.11111111111111116</v>
      </c>
      <c r="M11" s="495">
        <f>'UBS Vila Dalva 1° SEM'!M10</f>
        <v>707</v>
      </c>
      <c r="N11" s="496">
        <f>'UBS Vila Dalva 1° SEM'!N10</f>
        <v>0.63657407407407418</v>
      </c>
      <c r="O11" s="495">
        <f>'UBS Vila Dalva 1° SEM'!O10</f>
        <v>407</v>
      </c>
      <c r="P11" s="496">
        <f>'UBS Vila Dalva 1° SEM'!P10</f>
        <v>-5.787037037037035E-2</v>
      </c>
      <c r="Q11" s="497">
        <f>'UBS Vila Dalva 1° SEM'!Q10</f>
        <v>1498</v>
      </c>
      <c r="R11" s="498">
        <f>'UBS Vila Dalva 1° SEM'!R10</f>
        <v>0.15586419753086411</v>
      </c>
    </row>
    <row r="12" spans="1:18" ht="24" x14ac:dyDescent="0.25">
      <c r="A12" s="493" t="str">
        <f>'UBS Vila Dalva 1° SEM'!A11</f>
        <v>Cirurgião Dentista - ESB II (procedimento)</v>
      </c>
      <c r="B12" s="494">
        <f>'UBS Vila Dalva 1° SEM'!B11</f>
        <v>1512</v>
      </c>
      <c r="C12" s="495">
        <f>'UBS Vila Dalva 1° SEM'!C11</f>
        <v>439</v>
      </c>
      <c r="D12" s="496">
        <f>'UBS Vila Dalva 1° SEM'!D11</f>
        <v>-0.70965608465608465</v>
      </c>
      <c r="E12" s="495">
        <f>'UBS Vila Dalva 1° SEM'!E11</f>
        <v>1070</v>
      </c>
      <c r="F12" s="496">
        <f>'UBS Vila Dalva 1° SEM'!F11</f>
        <v>-0.29232804232804233</v>
      </c>
      <c r="G12" s="495">
        <f>'UBS Vila Dalva 1° SEM'!G11</f>
        <v>2125</v>
      </c>
      <c r="H12" s="496">
        <f>'UBS Vila Dalva 1° SEM'!H11</f>
        <v>0.40542328042328046</v>
      </c>
      <c r="I12" s="497">
        <f>'UBS Vila Dalva 1° SEM'!I11</f>
        <v>3634</v>
      </c>
      <c r="J12" s="498">
        <f>'UBS Vila Dalva 1° SEM'!J11</f>
        <v>-0.19885361552028213</v>
      </c>
      <c r="K12" s="495">
        <f>'UBS Vila Dalva 1° SEM'!K11</f>
        <v>1021</v>
      </c>
      <c r="L12" s="496">
        <f>'UBS Vila Dalva 1° SEM'!L11</f>
        <v>-0.32473544973544977</v>
      </c>
      <c r="M12" s="495">
        <f>'UBS Vila Dalva 1° SEM'!M11</f>
        <v>1845</v>
      </c>
      <c r="N12" s="496">
        <f>'UBS Vila Dalva 1° SEM'!N11</f>
        <v>0.22023809523809534</v>
      </c>
      <c r="O12" s="495">
        <f>'UBS Vila Dalva 1° SEM'!O11</f>
        <v>991</v>
      </c>
      <c r="P12" s="496">
        <f>'UBS Vila Dalva 1° SEM'!P11</f>
        <v>-0.34457671957671954</v>
      </c>
      <c r="Q12" s="497">
        <f>'UBS Vila Dalva 1° SEM'!Q11</f>
        <v>3857</v>
      </c>
      <c r="R12" s="498">
        <f>'UBS Vila Dalva 1° SEM'!R11</f>
        <v>-0.14969135802469136</v>
      </c>
    </row>
    <row r="13" spans="1:18" x14ac:dyDescent="0.25">
      <c r="A13" s="499" t="str">
        <f>'UBS Vila Dalva 1° SEM'!A12</f>
        <v>Clínico Geral (consulta)</v>
      </c>
      <c r="B13" s="500">
        <f>'UBS Vila Dalva 1° SEM'!B12</f>
        <v>263</v>
      </c>
      <c r="C13" s="501">
        <f>'UBS Vila Dalva 1° SEM'!C12</f>
        <v>169</v>
      </c>
      <c r="D13" s="502">
        <f>'UBS Vila Dalva 1° SEM'!D12</f>
        <v>-0.35741444866920147</v>
      </c>
      <c r="E13" s="501">
        <f>'UBS Vila Dalva 1° SEM'!E12</f>
        <v>69</v>
      </c>
      <c r="F13" s="502">
        <f>'UBS Vila Dalva 1° SEM'!F12</f>
        <v>-0.73764258555133078</v>
      </c>
      <c r="G13" s="501">
        <f>'UBS Vila Dalva 1° SEM'!G12</f>
        <v>0</v>
      </c>
      <c r="H13" s="502">
        <f>'UBS Vila Dalva 1° SEM'!H12</f>
        <v>-1</v>
      </c>
      <c r="I13" s="497">
        <f>'UBS Vila Dalva 1° SEM'!I12</f>
        <v>238</v>
      </c>
      <c r="J13" s="498">
        <f>'UBS Vila Dalva 1° SEM'!J12</f>
        <v>-0.69835234474017738</v>
      </c>
      <c r="K13" s="501">
        <f>'UBS Vila Dalva 1° SEM'!K12</f>
        <v>0</v>
      </c>
      <c r="L13" s="502">
        <f>'UBS Vila Dalva 1° SEM'!L12</f>
        <v>-1</v>
      </c>
      <c r="M13" s="501">
        <f>'UBS Vila Dalva 1° SEM'!M12</f>
        <v>0</v>
      </c>
      <c r="N13" s="502">
        <f>'UBS Vila Dalva 1° SEM'!N12</f>
        <v>-1</v>
      </c>
      <c r="O13" s="501">
        <f>'UBS Vila Dalva 1° SEM'!O12</f>
        <v>0</v>
      </c>
      <c r="P13" s="502">
        <f>'UBS Vila Dalva 1° SEM'!P12</f>
        <v>-1</v>
      </c>
      <c r="Q13" s="497">
        <f>'UBS Vila Dalva 1° SEM'!Q12</f>
        <v>0</v>
      </c>
      <c r="R13" s="498">
        <f>'UBS Vila Dalva 1° SEM'!R12</f>
        <v>-1</v>
      </c>
    </row>
    <row r="14" spans="1:18" x14ac:dyDescent="0.25">
      <c r="A14" s="499" t="str">
        <f>'UBS Vila Dalva 1° SEM'!A13</f>
        <v>Pediatra (consulta)</v>
      </c>
      <c r="B14" s="500">
        <f>'UBS Vila Dalva 1° SEM'!B13</f>
        <v>526</v>
      </c>
      <c r="C14" s="501">
        <f>'UBS Vila Dalva 1° SEM'!C13</f>
        <v>85</v>
      </c>
      <c r="D14" s="502">
        <f>'UBS Vila Dalva 1° SEM'!D13</f>
        <v>-0.83840304182509506</v>
      </c>
      <c r="E14" s="501">
        <f>'UBS Vila Dalva 1° SEM'!E13</f>
        <v>107</v>
      </c>
      <c r="F14" s="502">
        <f>'UBS Vila Dalva 1° SEM'!F13</f>
        <v>-0.79657794676806082</v>
      </c>
      <c r="G14" s="501">
        <f>'UBS Vila Dalva 1° SEM'!G13</f>
        <v>152</v>
      </c>
      <c r="H14" s="502">
        <f>'UBS Vila Dalva 1° SEM'!H13</f>
        <v>-0.71102661596958172</v>
      </c>
      <c r="I14" s="497">
        <f>'UBS Vila Dalva 1° SEM'!I13</f>
        <v>344</v>
      </c>
      <c r="J14" s="498">
        <f>'UBS Vila Dalva 1° SEM'!J13</f>
        <v>-0.78200253485424587</v>
      </c>
      <c r="K14" s="501">
        <f>'UBS Vila Dalva 1° SEM'!K13</f>
        <v>0</v>
      </c>
      <c r="L14" s="502">
        <f>'UBS Vila Dalva 1° SEM'!L13</f>
        <v>-1</v>
      </c>
      <c r="M14" s="501">
        <f>'UBS Vila Dalva 1° SEM'!M13</f>
        <v>156</v>
      </c>
      <c r="N14" s="502">
        <f>'UBS Vila Dalva 1° SEM'!N13</f>
        <v>-0.70342205323193918</v>
      </c>
      <c r="O14" s="501">
        <f>'UBS Vila Dalva 1° SEM'!O13</f>
        <v>111</v>
      </c>
      <c r="P14" s="502">
        <f>'UBS Vila Dalva 1° SEM'!P13</f>
        <v>-0.78897338403041828</v>
      </c>
      <c r="Q14" s="497">
        <f>'UBS Vila Dalva 1° SEM'!Q13</f>
        <v>267</v>
      </c>
      <c r="R14" s="498">
        <f>'UBS Vila Dalva 1° SEM'!R13</f>
        <v>-0.83079847908745252</v>
      </c>
    </row>
    <row r="15" spans="1:18" x14ac:dyDescent="0.25">
      <c r="A15" s="493" t="str">
        <f>'UBS Vila Dalva 1° SEM'!A14</f>
        <v>Psiquiatra (consulta)</v>
      </c>
      <c r="B15" s="494">
        <f>'UBS Vila Dalva 1° SEM'!B14</f>
        <v>166</v>
      </c>
      <c r="C15" s="495">
        <f>'UBS Vila Dalva 1° SEM'!C14</f>
        <v>182</v>
      </c>
      <c r="D15" s="496">
        <f>'UBS Vila Dalva 1° SEM'!D14</f>
        <v>9.6385542168674787E-2</v>
      </c>
      <c r="E15" s="495">
        <f>'UBS Vila Dalva 1° SEM'!E14</f>
        <v>0</v>
      </c>
      <c r="F15" s="496">
        <f>'UBS Vila Dalva 1° SEM'!F14</f>
        <v>-1</v>
      </c>
      <c r="G15" s="495">
        <f>'UBS Vila Dalva 1° SEM'!G14</f>
        <v>274</v>
      </c>
      <c r="H15" s="496">
        <f>'UBS Vila Dalva 1° SEM'!H14</f>
        <v>0.65060240963855431</v>
      </c>
      <c r="I15" s="497">
        <f>'UBS Vila Dalva 1° SEM'!I14</f>
        <v>456</v>
      </c>
      <c r="J15" s="498">
        <f>'UBS Vila Dalva 1° SEM'!J14</f>
        <v>-8.4337349397590411E-2</v>
      </c>
      <c r="K15" s="495">
        <f>'UBS Vila Dalva 1° SEM'!K14</f>
        <v>166</v>
      </c>
      <c r="L15" s="496">
        <f>'UBS Vila Dalva 1° SEM'!L14</f>
        <v>0</v>
      </c>
      <c r="M15" s="495">
        <f>'UBS Vila Dalva 1° SEM'!M14</f>
        <v>207</v>
      </c>
      <c r="N15" s="496">
        <f>'UBS Vila Dalva 1° SEM'!N14</f>
        <v>0.24698795180722888</v>
      </c>
      <c r="O15" s="495">
        <f>'UBS Vila Dalva 1° SEM'!O14</f>
        <v>201</v>
      </c>
      <c r="P15" s="496">
        <f>'UBS Vila Dalva 1° SEM'!P14</f>
        <v>0.21084337349397586</v>
      </c>
      <c r="Q15" s="497">
        <f>'UBS Vila Dalva 1° SEM'!Q14</f>
        <v>574</v>
      </c>
      <c r="R15" s="498">
        <f>'UBS Vila Dalva 1° SEM'!R14</f>
        <v>0.15261044176706817</v>
      </c>
    </row>
    <row r="16" spans="1:18" x14ac:dyDescent="0.25">
      <c r="A16" s="503" t="str">
        <f>'UBS Vila Dalva 1° SEM'!A15</f>
        <v>SOMA</v>
      </c>
      <c r="B16" s="494">
        <f>'UBS Vila Dalva 1° SEM'!B15</f>
        <v>12479</v>
      </c>
      <c r="C16" s="504">
        <f>'UBS Vila Dalva 1° SEM'!C15</f>
        <v>6698</v>
      </c>
      <c r="D16" s="496">
        <f>'UBS Vila Dalva 1° SEM'!D15</f>
        <v>-0.46325827390015228</v>
      </c>
      <c r="E16" s="504">
        <f>'UBS Vila Dalva 1° SEM'!E15</f>
        <v>7895</v>
      </c>
      <c r="F16" s="496">
        <f>'UBS Vila Dalva 1° SEM'!F15</f>
        <v>-0.36733712637230542</v>
      </c>
      <c r="G16" s="504">
        <v>11366</v>
      </c>
      <c r="H16" s="496">
        <v>-8.8999999999999996E-2</v>
      </c>
      <c r="I16" s="505">
        <v>3245</v>
      </c>
      <c r="J16" s="498">
        <v>-0.376</v>
      </c>
      <c r="K16" s="504">
        <f>'UBS Vila Dalva 1° SEM'!K15</f>
        <v>8549</v>
      </c>
      <c r="L16" s="496">
        <f>'UBS Vila Dalva 1° SEM'!L15</f>
        <v>-0.31492908085583782</v>
      </c>
      <c r="M16" s="504">
        <f>'UBS Vila Dalva 1° SEM'!M15</f>
        <v>11273</v>
      </c>
      <c r="N16" s="496">
        <f>'UBS Vila Dalva 1° SEM'!N15</f>
        <v>-9.6642359163394476E-2</v>
      </c>
      <c r="O16" s="504">
        <f>'UBS Vila Dalva 1° SEM'!O15</f>
        <v>9384</v>
      </c>
      <c r="P16" s="496">
        <f>'UBS Vila Dalva 1° SEM'!P15</f>
        <v>-0.24801666800224376</v>
      </c>
      <c r="Q16" s="505">
        <f>'UBS Vila Dalva 1° SEM'!Q15</f>
        <v>29206</v>
      </c>
      <c r="R16" s="498">
        <f>'UBS Vila Dalva 1° SEM'!R15</f>
        <v>-0.21986270267382535</v>
      </c>
    </row>
    <row r="18" spans="1:18" ht="15.75" x14ac:dyDescent="0.25">
      <c r="A18" s="827" t="s">
        <v>340</v>
      </c>
      <c r="B18" s="828"/>
      <c r="C18" s="828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</row>
    <row r="19" spans="1:18" ht="24" x14ac:dyDescent="0.25">
      <c r="A19" s="506" t="s">
        <v>8</v>
      </c>
      <c r="B19" s="490" t="s">
        <v>9</v>
      </c>
      <c r="C19" s="506" t="str">
        <f>'UBS Vila Dalva 1° SEM'!$C$19</f>
        <v>JAN</v>
      </c>
      <c r="D19" s="507" t="str">
        <f>'UBS Vila Dalva 1° SEM'!D19</f>
        <v>%</v>
      </c>
      <c r="E19" s="506" t="str">
        <f>'UBS Vila Dalva 1° SEM'!E19</f>
        <v>FEV</v>
      </c>
      <c r="F19" s="507" t="str">
        <f>'UBS Vila Dalva 1° SEM'!F19</f>
        <v>%</v>
      </c>
      <c r="G19" s="506" t="str">
        <f>'UBS Vila Dalva 1° SEM'!G19</f>
        <v>MAR</v>
      </c>
      <c r="H19" s="507" t="str">
        <f>'UBS Vila Dalva 1° SEM'!H19</f>
        <v>%</v>
      </c>
      <c r="I19" s="508" t="str">
        <f>'UBS Vila Dalva 1° SEM'!I19</f>
        <v>Trimestre</v>
      </c>
      <c r="J19" s="508" t="str">
        <f>'UBS Vila Dalva 1° SEM'!J19</f>
        <v>%</v>
      </c>
      <c r="K19" s="506" t="str">
        <f>'UBS Vila Dalva 1° SEM'!K19</f>
        <v>ABR</v>
      </c>
      <c r="L19" s="507" t="str">
        <f>'UBS Vila Dalva 1° SEM'!L19</f>
        <v>%</v>
      </c>
      <c r="M19" s="506" t="str">
        <f>'UBS Vila Dalva 1° SEM'!M19</f>
        <v>MAI</v>
      </c>
      <c r="N19" s="507" t="str">
        <f>'UBS Vila Dalva 1° SEM'!N19</f>
        <v>%</v>
      </c>
      <c r="O19" s="506" t="str">
        <f>'UBS Vila Dalva 1° SEM'!O19</f>
        <v>JUN</v>
      </c>
      <c r="P19" s="507" t="str">
        <f>'UBS Vila Dalva 1° SEM'!P19</f>
        <v>%</v>
      </c>
      <c r="Q19" s="508" t="str">
        <f>'UBS Vila Dalva 1° SEM'!Q19</f>
        <v>Trimestre</v>
      </c>
      <c r="R19" s="508" t="str">
        <f>'UBS Vila Dalva 1° SEM'!R19</f>
        <v>%</v>
      </c>
    </row>
    <row r="20" spans="1:18" x14ac:dyDescent="0.25">
      <c r="A20" s="509" t="str">
        <f>'UBS Jardim Boa Vista 1° SEM'!A7</f>
        <v>ACS</v>
      </c>
      <c r="B20" s="494">
        <f>'UBS Jardim Boa Vista 1° SEM'!B7</f>
        <v>7200</v>
      </c>
      <c r="C20" s="495">
        <f>'UBS Jardim Boa Vista 1° SEM'!C7</f>
        <v>6768</v>
      </c>
      <c r="D20" s="496">
        <f>'UBS Jardim Boa Vista 1° SEM'!D7</f>
        <v>-6.0000000000000053E-2</v>
      </c>
      <c r="E20" s="495">
        <f>'UBS Jardim Boa Vista 1° SEM'!E7</f>
        <v>5976</v>
      </c>
      <c r="F20" s="496">
        <f>'UBS Jardim Boa Vista 1° SEM'!F7</f>
        <v>-0.17000000000000004</v>
      </c>
      <c r="G20" s="495">
        <f>'UBS Jardim Boa Vista 1° SEM'!G7</f>
        <v>6818</v>
      </c>
      <c r="H20" s="496">
        <f>'UBS Jardim Boa Vista 1° SEM'!H7</f>
        <v>-5.3055555555555522E-2</v>
      </c>
      <c r="I20" s="497">
        <f>'UBS Jardim Boa Vista 1° SEM'!I7</f>
        <v>19562</v>
      </c>
      <c r="J20" s="498">
        <f>'UBS Jardim Boa Vista 1° SEM'!J7</f>
        <v>-9.4351851851851798E-2</v>
      </c>
      <c r="K20" s="495">
        <f>'UBS Jardim Boa Vista 1° SEM'!K7</f>
        <v>6382</v>
      </c>
      <c r="L20" s="496">
        <f>'UBS Jardim Boa Vista 1° SEM'!L7</f>
        <v>-0.11361111111111111</v>
      </c>
      <c r="M20" s="495">
        <f>'UBS Jardim Boa Vista 1° SEM'!M7</f>
        <v>7727</v>
      </c>
      <c r="N20" s="496">
        <f>'UBS Jardim Boa Vista 1° SEM'!N7</f>
        <v>7.319444444444434E-2</v>
      </c>
      <c r="O20" s="495">
        <f>'UBS Jardim Boa Vista 1° SEM'!O7</f>
        <v>6905</v>
      </c>
      <c r="P20" s="496">
        <f>'UBS Jardim Boa Vista 1° SEM'!P7</f>
        <v>-4.0972222222222188E-2</v>
      </c>
      <c r="Q20" s="497">
        <f>'UBS Jardim Boa Vista 1° SEM'!Q7</f>
        <v>21014</v>
      </c>
      <c r="R20" s="498">
        <f>'UBS Jardim Boa Vista 1° SEM'!R7</f>
        <v>-2.7129629629629615E-2</v>
      </c>
    </row>
    <row r="21" spans="1:18" x14ac:dyDescent="0.25">
      <c r="A21" s="509" t="str">
        <f>'UBS Jardim Boa Vista 1° SEM'!A8</f>
        <v>Médico Generalista</v>
      </c>
      <c r="B21" s="494">
        <f>'UBS Jardim Boa Vista 1° SEM'!B8</f>
        <v>2496</v>
      </c>
      <c r="C21" s="495">
        <f>'UBS Jardim Boa Vista 1° SEM'!C8</f>
        <v>2527</v>
      </c>
      <c r="D21" s="496">
        <f>'UBS Jardim Boa Vista 1° SEM'!D8</f>
        <v>1.2419871794871806E-2</v>
      </c>
      <c r="E21" s="495">
        <f>'UBS Jardim Boa Vista 1° SEM'!E8</f>
        <v>1977</v>
      </c>
      <c r="F21" s="496">
        <f>'UBS Jardim Boa Vista 1° SEM'!F8</f>
        <v>-0.20793269230769229</v>
      </c>
      <c r="G21" s="495">
        <f>'UBS Jardim Boa Vista 1° SEM'!G8</f>
        <v>2843</v>
      </c>
      <c r="H21" s="496">
        <f>'UBS Jardim Boa Vista 1° SEM'!H8</f>
        <v>0.1390224358974359</v>
      </c>
      <c r="I21" s="497">
        <f>'UBS Jardim Boa Vista 1° SEM'!I8</f>
        <v>7347</v>
      </c>
      <c r="J21" s="498">
        <f>'UBS Jardim Boa Vista 1° SEM'!J8</f>
        <v>-1.8830128205128194E-2</v>
      </c>
      <c r="K21" s="495">
        <f>'UBS Jardim Boa Vista 1° SEM'!K8</f>
        <v>2090</v>
      </c>
      <c r="L21" s="496">
        <f>'UBS Jardim Boa Vista 1° SEM'!L8</f>
        <v>-0.16266025641025639</v>
      </c>
      <c r="M21" s="495">
        <f>'UBS Jardim Boa Vista 1° SEM'!M8</f>
        <v>2799</v>
      </c>
      <c r="N21" s="496">
        <f>'UBS Jardim Boa Vista 1° SEM'!N8</f>
        <v>0.12139423076923084</v>
      </c>
      <c r="O21" s="495">
        <f>'UBS Jardim Boa Vista 1° SEM'!O8</f>
        <v>2473</v>
      </c>
      <c r="P21" s="496">
        <f>'UBS Jardim Boa Vista 1° SEM'!P8</f>
        <v>-9.2147435897436125E-3</v>
      </c>
      <c r="Q21" s="497">
        <f>'UBS Jardim Boa Vista 1° SEM'!Q8</f>
        <v>7362</v>
      </c>
      <c r="R21" s="498">
        <f>'UBS Jardim Boa Vista 1° SEM'!R8</f>
        <v>-1.6826923076923128E-2</v>
      </c>
    </row>
    <row r="22" spans="1:18" x14ac:dyDescent="0.25">
      <c r="A22" s="509" t="str">
        <f>'UBS Jardim Boa Vista 1° SEM'!A9</f>
        <v>Enfermeiro - ESF</v>
      </c>
      <c r="B22" s="494">
        <f>'UBS Jardim Boa Vista 1° SEM'!B9</f>
        <v>936</v>
      </c>
      <c r="C22" s="495">
        <f>'UBS Jardim Boa Vista 1° SEM'!C9</f>
        <v>1015</v>
      </c>
      <c r="D22" s="496">
        <f>'UBS Jardim Boa Vista 1° SEM'!D9</f>
        <v>8.4401709401709324E-2</v>
      </c>
      <c r="E22" s="495">
        <f>'UBS Jardim Boa Vista 1° SEM'!E9</f>
        <v>1112</v>
      </c>
      <c r="F22" s="496">
        <f>'UBS Jardim Boa Vista 1° SEM'!F9</f>
        <v>0.18803418803418803</v>
      </c>
      <c r="G22" s="495">
        <f>'UBS Jardim Boa Vista 1° SEM'!G9</f>
        <v>1310</v>
      </c>
      <c r="H22" s="496">
        <f>'UBS Jardim Boa Vista 1° SEM'!H9</f>
        <v>0.39957264957264949</v>
      </c>
      <c r="I22" s="497">
        <f>'UBS Jardim Boa Vista 1° SEM'!I9</f>
        <v>3437</v>
      </c>
      <c r="J22" s="498">
        <f>'UBS Jardim Boa Vista 1° SEM'!J9</f>
        <v>0.22400284900284895</v>
      </c>
      <c r="K22" s="495">
        <f>'UBS Jardim Boa Vista 1° SEM'!K9</f>
        <v>1098</v>
      </c>
      <c r="L22" s="496">
        <f>'UBS Jardim Boa Vista 1° SEM'!L9</f>
        <v>0.17307692307692313</v>
      </c>
      <c r="M22" s="495">
        <f>'UBS Jardim Boa Vista 1° SEM'!M9</f>
        <v>1440</v>
      </c>
      <c r="N22" s="496">
        <f>'UBS Jardim Boa Vista 1° SEM'!N9</f>
        <v>0.53846153846153855</v>
      </c>
      <c r="O22" s="495">
        <f>'UBS Jardim Boa Vista 1° SEM'!O9</f>
        <v>1375</v>
      </c>
      <c r="P22" s="496">
        <f>'UBS Jardim Boa Vista 1° SEM'!P9</f>
        <v>0.46901709401709413</v>
      </c>
      <c r="Q22" s="497">
        <f>'UBS Jardim Boa Vista 1° SEM'!Q9</f>
        <v>3913</v>
      </c>
      <c r="R22" s="498">
        <f>'UBS Jardim Boa Vista 1° SEM'!R9</f>
        <v>0.3935185185185186</v>
      </c>
    </row>
    <row r="23" spans="1:18" ht="24" x14ac:dyDescent="0.25">
      <c r="A23" s="493" t="str">
        <f>'UBS Jardim Boa Vista 1° SEM'!A10</f>
        <v>Cirurgião Dentista - ESF I (atendimento individual)</v>
      </c>
      <c r="B23" s="494">
        <f>'UBS Jardim Boa Vista 1° SEM'!B10</f>
        <v>384</v>
      </c>
      <c r="C23" s="495">
        <f>'UBS Jardim Boa Vista 1° SEM'!C10</f>
        <v>341</v>
      </c>
      <c r="D23" s="496">
        <f>'UBS Jardim Boa Vista 1° SEM'!D10</f>
        <v>-0.11197916666666663</v>
      </c>
      <c r="E23" s="495">
        <f>'UBS Jardim Boa Vista 1° SEM'!E10</f>
        <v>360</v>
      </c>
      <c r="F23" s="496">
        <f>'UBS Jardim Boa Vista 1° SEM'!F10</f>
        <v>-6.25E-2</v>
      </c>
      <c r="G23" s="495">
        <f>'UBS Jardim Boa Vista 1° SEM'!G10</f>
        <v>389</v>
      </c>
      <c r="H23" s="496">
        <f>'UBS Jardim Boa Vista 1° SEM'!H10</f>
        <v>1.3020833333333259E-2</v>
      </c>
      <c r="I23" s="497">
        <f>'UBS Jardim Boa Vista 1° SEM'!I10</f>
        <v>1090</v>
      </c>
      <c r="J23" s="498">
        <f>'UBS Jardim Boa Vista 1° SEM'!J10</f>
        <v>-5.381944444444442E-2</v>
      </c>
      <c r="K23" s="495">
        <f>'UBS Jardim Boa Vista 1° SEM'!K10</f>
        <v>182</v>
      </c>
      <c r="L23" s="496">
        <f>'UBS Jardim Boa Vista 1° SEM'!L10</f>
        <v>-0.52604166666666674</v>
      </c>
      <c r="M23" s="495">
        <f>'UBS Jardim Boa Vista 1° SEM'!M10</f>
        <v>196</v>
      </c>
      <c r="N23" s="496">
        <f>'UBS Jardim Boa Vista 1° SEM'!N10</f>
        <v>-0.48958333333333337</v>
      </c>
      <c r="O23" s="495">
        <f>'UBS Jardim Boa Vista 1° SEM'!O10</f>
        <v>375</v>
      </c>
      <c r="P23" s="496">
        <f>'UBS Jardim Boa Vista 1° SEM'!P10</f>
        <v>-2.34375E-2</v>
      </c>
      <c r="Q23" s="497">
        <f>'UBS Jardim Boa Vista 1° SEM'!Q10</f>
        <v>753</v>
      </c>
      <c r="R23" s="498">
        <f>'UBS Jardim Boa Vista 1° SEM'!R10</f>
        <v>-0.34635416666666663</v>
      </c>
    </row>
    <row r="24" spans="1:18" ht="24" x14ac:dyDescent="0.25">
      <c r="A24" s="493" t="str">
        <f>'UBS Jardim Boa Vista 1° SEM'!A11</f>
        <v>Cirurgião Dentista - ESF I (procedimento)</v>
      </c>
      <c r="B24" s="494">
        <f>'UBS Jardim Boa Vista 1° SEM'!B11</f>
        <v>1344</v>
      </c>
      <c r="C24" s="495">
        <f>'UBS Jardim Boa Vista 1° SEM'!C11</f>
        <v>991</v>
      </c>
      <c r="D24" s="496">
        <f>'UBS Jardim Boa Vista 1° SEM'!D11</f>
        <v>-0.26264880952380953</v>
      </c>
      <c r="E24" s="495">
        <f>'UBS Jardim Boa Vista 1° SEM'!E11</f>
        <v>1013</v>
      </c>
      <c r="F24" s="496">
        <f>'UBS Jardim Boa Vista 1° SEM'!F11</f>
        <v>-0.24627976190476186</v>
      </c>
      <c r="G24" s="495">
        <f>'UBS Jardim Boa Vista 1° SEM'!G11</f>
        <v>1461</v>
      </c>
      <c r="H24" s="496">
        <f>'UBS Jardim Boa Vista 1° SEM'!H11</f>
        <v>8.7053571428571397E-2</v>
      </c>
      <c r="I24" s="497">
        <f>'UBS Jardim Boa Vista 1° SEM'!I11</f>
        <v>3465</v>
      </c>
      <c r="J24" s="498">
        <f>'UBS Jardim Boa Vista 1° SEM'!J11</f>
        <v>-0.140625</v>
      </c>
      <c r="K24" s="495">
        <f>'UBS Jardim Boa Vista 1° SEM'!K11</f>
        <v>1005</v>
      </c>
      <c r="L24" s="496">
        <f>'UBS Jardim Boa Vista 1° SEM'!L11</f>
        <v>-0.2522321428571429</v>
      </c>
      <c r="M24" s="495">
        <f>'UBS Jardim Boa Vista 1° SEM'!M11</f>
        <v>1160</v>
      </c>
      <c r="N24" s="496">
        <f>'UBS Jardim Boa Vista 1° SEM'!N11</f>
        <v>-0.13690476190476186</v>
      </c>
      <c r="O24" s="495">
        <f>'UBS Jardim Boa Vista 1° SEM'!O11</f>
        <v>1330</v>
      </c>
      <c r="P24" s="496">
        <f>'UBS Jardim Boa Vista 1° SEM'!P11</f>
        <v>-1.041666666666663E-2</v>
      </c>
      <c r="Q24" s="497">
        <f>'UBS Jardim Boa Vista 1° SEM'!Q11</f>
        <v>3495</v>
      </c>
      <c r="R24" s="498">
        <f>'UBS Jardim Boa Vista 1° SEM'!R11</f>
        <v>-0.13318452380952384</v>
      </c>
    </row>
    <row r="25" spans="1:18" ht="24" x14ac:dyDescent="0.25">
      <c r="A25" s="493" t="str">
        <f>'UBS Jardim Boa Vista 1° SEM'!A12</f>
        <v>Cirurgião Dentista (atendimento individual)</v>
      </c>
      <c r="B25" s="494">
        <f>'UBS Jardim Boa Vista 1° SEM'!B12</f>
        <v>96</v>
      </c>
      <c r="C25" s="495">
        <f>'UBS Jardim Boa Vista 1° SEM'!C12</f>
        <v>76</v>
      </c>
      <c r="D25" s="496">
        <f>'UBS Jardim Boa Vista 1° SEM'!D12</f>
        <v>-0.20833333333333337</v>
      </c>
      <c r="E25" s="495">
        <f>'UBS Jardim Boa Vista 1° SEM'!E12</f>
        <v>90</v>
      </c>
      <c r="F25" s="496">
        <f>'UBS Jardim Boa Vista 1° SEM'!F12</f>
        <v>-6.25E-2</v>
      </c>
      <c r="G25" s="495">
        <f>'UBS Jardim Boa Vista 1° SEM'!G12</f>
        <v>28</v>
      </c>
      <c r="H25" s="496">
        <f>'UBS Jardim Boa Vista 1° SEM'!H12</f>
        <v>-0.70833333333333326</v>
      </c>
      <c r="I25" s="497">
        <f>'UBS Jardim Boa Vista 1° SEM'!I12</f>
        <v>194</v>
      </c>
      <c r="J25" s="498">
        <f>'UBS Jardim Boa Vista 1° SEM'!J12</f>
        <v>-0.32638888888888884</v>
      </c>
      <c r="K25" s="495">
        <f>'UBS Jardim Boa Vista 1° SEM'!K12</f>
        <v>57</v>
      </c>
      <c r="L25" s="496">
        <f>'UBS Jardim Boa Vista 1° SEM'!L12</f>
        <v>-0.40625</v>
      </c>
      <c r="M25" s="495">
        <f>'UBS Jardim Boa Vista 1° SEM'!M12</f>
        <v>109</v>
      </c>
      <c r="N25" s="496">
        <f>'UBS Jardim Boa Vista 1° SEM'!N12</f>
        <v>0.13541666666666674</v>
      </c>
      <c r="O25" s="495">
        <f>'UBS Jardim Boa Vista 1° SEM'!O12</f>
        <v>97</v>
      </c>
      <c r="P25" s="496">
        <f>'UBS Jardim Boa Vista 1° SEM'!P12</f>
        <v>1.0416666666666741E-2</v>
      </c>
      <c r="Q25" s="497">
        <f>'UBS Jardim Boa Vista 1° SEM'!Q12</f>
        <v>263</v>
      </c>
      <c r="R25" s="498">
        <f>'UBS Jardim Boa Vista 1° SEM'!R12</f>
        <v>-8.680555555555558E-2</v>
      </c>
    </row>
    <row r="26" spans="1:18" ht="24" x14ac:dyDescent="0.25">
      <c r="A26" s="493" t="str">
        <f>'UBS Jardim Boa Vista 1° SEM'!A13</f>
        <v>Cirurgião Dentista (procedimento)</v>
      </c>
      <c r="B26" s="494">
        <f>'UBS Jardim Boa Vista 1° SEM'!B13</f>
        <v>336</v>
      </c>
      <c r="C26" s="495">
        <f>'UBS Jardim Boa Vista 1° SEM'!C13</f>
        <v>93</v>
      </c>
      <c r="D26" s="496">
        <f>'UBS Jardim Boa Vista 1° SEM'!D13</f>
        <v>-0.7232142857142857</v>
      </c>
      <c r="E26" s="495">
        <f>'UBS Jardim Boa Vista 1° SEM'!E13</f>
        <v>103</v>
      </c>
      <c r="F26" s="496">
        <f>'UBS Jardim Boa Vista 1° SEM'!F13</f>
        <v>-0.69345238095238093</v>
      </c>
      <c r="G26" s="495">
        <f>'UBS Jardim Boa Vista 1° SEM'!G13</f>
        <v>113</v>
      </c>
      <c r="H26" s="496">
        <f>'UBS Jardim Boa Vista 1° SEM'!H13</f>
        <v>-0.66369047619047616</v>
      </c>
      <c r="I26" s="497">
        <f>'UBS Jardim Boa Vista 1° SEM'!I13</f>
        <v>309</v>
      </c>
      <c r="J26" s="498">
        <f>'UBS Jardim Boa Vista 1° SEM'!J13</f>
        <v>-0.69345238095238093</v>
      </c>
      <c r="K26" s="495">
        <f>'UBS Jardim Boa Vista 1° SEM'!K13</f>
        <v>275</v>
      </c>
      <c r="L26" s="496">
        <f>'UBS Jardim Boa Vista 1° SEM'!L13</f>
        <v>-0.18154761904761907</v>
      </c>
      <c r="M26" s="495">
        <f>'UBS Jardim Boa Vista 1° SEM'!M13</f>
        <v>291</v>
      </c>
      <c r="N26" s="496">
        <f>'UBS Jardim Boa Vista 1° SEM'!N13</f>
        <v>-0.1339285714285714</v>
      </c>
      <c r="O26" s="495">
        <f>'UBS Jardim Boa Vista 1° SEM'!O13</f>
        <v>604</v>
      </c>
      <c r="P26" s="496">
        <f>'UBS Jardim Boa Vista 1° SEM'!P13</f>
        <v>0.79761904761904767</v>
      </c>
      <c r="Q26" s="497">
        <f>'UBS Jardim Boa Vista 1° SEM'!Q13</f>
        <v>1170</v>
      </c>
      <c r="R26" s="498">
        <f>'UBS Jardim Boa Vista 1° SEM'!R13</f>
        <v>0.16071428571428581</v>
      </c>
    </row>
    <row r="27" spans="1:18" x14ac:dyDescent="0.25">
      <c r="A27" s="509" t="str">
        <f>'UBS Jardim Boa Vista 1° SEM'!A14</f>
        <v>Pediatra</v>
      </c>
      <c r="B27" s="494">
        <f>'UBS Jardim Boa Vista 1° SEM'!B14</f>
        <v>263</v>
      </c>
      <c r="C27" s="495">
        <f>'UBS Jardim Boa Vista 1° SEM'!C14</f>
        <v>0</v>
      </c>
      <c r="D27" s="496">
        <f>'UBS Jardim Boa Vista 1° SEM'!D14</f>
        <v>-1</v>
      </c>
      <c r="E27" s="495">
        <f>'UBS Jardim Boa Vista 1° SEM'!E14</f>
        <v>0</v>
      </c>
      <c r="F27" s="496">
        <f>'UBS Jardim Boa Vista 1° SEM'!F14</f>
        <v>-1</v>
      </c>
      <c r="G27" s="495">
        <f>'UBS Jardim Boa Vista 1° SEM'!G14</f>
        <v>0</v>
      </c>
      <c r="H27" s="496">
        <f>'UBS Jardim Boa Vista 1° SEM'!H14</f>
        <v>-1</v>
      </c>
      <c r="I27" s="497">
        <f>'UBS Jardim Boa Vista 1° SEM'!I14</f>
        <v>0</v>
      </c>
      <c r="J27" s="498">
        <f>'UBS Jardim Boa Vista 1° SEM'!J14</f>
        <v>-1</v>
      </c>
      <c r="K27" s="495">
        <f>'UBS Jardim Boa Vista 1° SEM'!K14</f>
        <v>0</v>
      </c>
      <c r="L27" s="496">
        <f>'UBS Jardim Boa Vista 1° SEM'!L14</f>
        <v>-1</v>
      </c>
      <c r="M27" s="495">
        <f>'UBS Jardim Boa Vista 1° SEM'!M14</f>
        <v>0</v>
      </c>
      <c r="N27" s="496">
        <f>'UBS Jardim Boa Vista 1° SEM'!N14</f>
        <v>-1</v>
      </c>
      <c r="O27" s="495">
        <f>'UBS Jardim Boa Vista 1° SEM'!O14</f>
        <v>0</v>
      </c>
      <c r="P27" s="496">
        <f>'UBS Jardim Boa Vista 1° SEM'!P14</f>
        <v>-1</v>
      </c>
      <c r="Q27" s="497">
        <f>'UBS Jardim Boa Vista 1° SEM'!Q14</f>
        <v>0</v>
      </c>
      <c r="R27" s="498">
        <f>'UBS Jardim Boa Vista 1° SEM'!R14</f>
        <v>-1</v>
      </c>
    </row>
    <row r="28" spans="1:18" x14ac:dyDescent="0.25">
      <c r="A28" s="509" t="str">
        <f>'UBS Jardim Boa Vista 1° SEM'!A15</f>
        <v>Psiquiatra</v>
      </c>
      <c r="B28" s="494">
        <f>'UBS Jardim Boa Vista 1° SEM'!B15</f>
        <v>166</v>
      </c>
      <c r="C28" s="495">
        <f>'UBS Jardim Boa Vista 1° SEM'!C15</f>
        <v>22</v>
      </c>
      <c r="D28" s="496">
        <f>'UBS Jardim Boa Vista 1° SEM'!D15</f>
        <v>-0.86746987951807231</v>
      </c>
      <c r="E28" s="495">
        <f>'UBS Jardim Boa Vista 1° SEM'!E15</f>
        <v>173</v>
      </c>
      <c r="F28" s="496">
        <f>'UBS Jardim Boa Vista 1° SEM'!F15</f>
        <v>4.2168674698795261E-2</v>
      </c>
      <c r="G28" s="495">
        <f>'UBS Jardim Boa Vista 1° SEM'!G15</f>
        <v>145</v>
      </c>
      <c r="H28" s="496">
        <f>'UBS Jardim Boa Vista 1° SEM'!H15</f>
        <v>-0.12650602409638556</v>
      </c>
      <c r="I28" s="497">
        <f>'UBS Jardim Boa Vista 1° SEM'!I15</f>
        <v>340</v>
      </c>
      <c r="J28" s="498">
        <f>'UBS Jardim Boa Vista 1° SEM'!J15</f>
        <v>-0.31726907630522083</v>
      </c>
      <c r="K28" s="495">
        <f>'UBS Jardim Boa Vista 1° SEM'!K15</f>
        <v>133</v>
      </c>
      <c r="L28" s="496">
        <f>'UBS Jardim Boa Vista 1° SEM'!L15</f>
        <v>-0.1987951807228916</v>
      </c>
      <c r="M28" s="495">
        <f>'UBS Jardim Boa Vista 1° SEM'!M15</f>
        <v>166</v>
      </c>
      <c r="N28" s="496">
        <f>'UBS Jardim Boa Vista 1° SEM'!N15</f>
        <v>0</v>
      </c>
      <c r="O28" s="495">
        <f>'UBS Jardim Boa Vista 1° SEM'!O15</f>
        <v>120</v>
      </c>
      <c r="P28" s="496">
        <f>'UBS Jardim Boa Vista 1° SEM'!P15</f>
        <v>-0.27710843373493976</v>
      </c>
      <c r="Q28" s="497">
        <f>'UBS Jardim Boa Vista 1° SEM'!Q15</f>
        <v>419</v>
      </c>
      <c r="R28" s="498">
        <f>'UBS Jardim Boa Vista 1° SEM'!R15</f>
        <v>-0.15863453815261042</v>
      </c>
    </row>
    <row r="29" spans="1:18" x14ac:dyDescent="0.25">
      <c r="A29" s="510" t="str">
        <f>'UBS Jardim Boa Vista 1° SEM'!A16</f>
        <v>SOMA</v>
      </c>
      <c r="B29" s="494">
        <f>'UBS Jardim Boa Vista 1° SEM'!B16</f>
        <v>13221</v>
      </c>
      <c r="C29" s="504">
        <f>'UBS Jardim Boa Vista 1° SEM'!C16</f>
        <v>11833</v>
      </c>
      <c r="D29" s="496">
        <f>'UBS Jardim Boa Vista 1° SEM'!D16</f>
        <v>-0.10498449436502533</v>
      </c>
      <c r="E29" s="504">
        <f>'UBS Jardim Boa Vista 1° SEM'!E16</f>
        <v>10804</v>
      </c>
      <c r="F29" s="496">
        <f>'UBS Jardim Boa Vista 1° SEM'!F16</f>
        <v>-0.18281521821344826</v>
      </c>
      <c r="G29" s="504">
        <f>'UBS Jardim Boa Vista 1° SEM'!G16</f>
        <v>13107</v>
      </c>
      <c r="H29" s="496">
        <f>'UBS Jardim Boa Vista 1° SEM'!H16</f>
        <v>-8.6226457907874199E-3</v>
      </c>
      <c r="I29" s="497">
        <f>'UBS Jardim Boa Vista 1° SEM'!I16</f>
        <v>35744</v>
      </c>
      <c r="J29" s="498">
        <v>-0.26900000000000002</v>
      </c>
      <c r="K29" s="504">
        <f>'UBS Jardim Boa Vista 1° SEM'!K16</f>
        <v>11222</v>
      </c>
      <c r="L29" s="496">
        <f>'UBS Jardim Boa Vista 1° SEM'!L16</f>
        <v>-0.15119885031389457</v>
      </c>
      <c r="M29" s="504">
        <f>'UBS Jardim Boa Vista 1° SEM'!M16</f>
        <v>13888</v>
      </c>
      <c r="N29" s="496">
        <f>'UBS Jardim Boa Vista 1° SEM'!N16</f>
        <v>5.0450041600484052E-2</v>
      </c>
      <c r="O29" s="504">
        <f>'UBS Jardim Boa Vista 1° SEM'!O16</f>
        <v>13279</v>
      </c>
      <c r="P29" s="496">
        <f>'UBS Jardim Boa Vista 1° SEM'!P16</f>
        <v>4.3869601391726132E-3</v>
      </c>
      <c r="Q29" s="497">
        <f>'UBS Jardim Boa Vista 1° SEM'!Q16</f>
        <v>38389</v>
      </c>
      <c r="R29" s="498">
        <f>'UBS Jardim Boa Vista 1° SEM'!R16</f>
        <v>-3.2120616191412599E-2</v>
      </c>
    </row>
    <row r="31" spans="1:18" ht="15.75" x14ac:dyDescent="0.25">
      <c r="A31" s="831" t="s">
        <v>342</v>
      </c>
      <c r="B31" s="832"/>
      <c r="C31" s="832"/>
      <c r="D31" s="832"/>
      <c r="E31" s="832"/>
      <c r="F31" s="832"/>
      <c r="G31" s="832"/>
      <c r="H31" s="832"/>
      <c r="I31" s="832"/>
      <c r="J31" s="832"/>
      <c r="K31" s="832"/>
      <c r="L31" s="832"/>
      <c r="M31" s="832"/>
      <c r="N31" s="832"/>
      <c r="O31" s="832"/>
      <c r="P31" s="832"/>
      <c r="Q31" s="832"/>
      <c r="R31" s="832"/>
    </row>
    <row r="32" spans="1:18" ht="24.75" thickBot="1" x14ac:dyDescent="0.3">
      <c r="A32" s="511" t="s">
        <v>8</v>
      </c>
      <c r="B32" s="490" t="s">
        <v>9</v>
      </c>
      <c r="C32" s="506" t="str">
        <f>'UBS Vila Dalva 1° SEM'!C19</f>
        <v>JAN</v>
      </c>
      <c r="D32" s="507" t="str">
        <f>'UBS Vila Dalva 1° SEM'!D19</f>
        <v>%</v>
      </c>
      <c r="E32" s="506" t="str">
        <f>'UBS Vila Dalva 1° SEM'!E19</f>
        <v>FEV</v>
      </c>
      <c r="F32" s="507" t="str">
        <f>'UBS Vila Dalva 1° SEM'!F19</f>
        <v>%</v>
      </c>
      <c r="G32" s="506" t="str">
        <f>'UBS Vila Dalva 1° SEM'!G19</f>
        <v>MAR</v>
      </c>
      <c r="H32" s="507" t="str">
        <f>'UBS Vila Dalva 1° SEM'!H19</f>
        <v>%</v>
      </c>
      <c r="I32" s="508" t="str">
        <f>'UBS Vila Dalva 1° SEM'!I19</f>
        <v>Trimestre</v>
      </c>
      <c r="J32" s="508" t="str">
        <f>'UBS Vila Dalva 1° SEM'!J19</f>
        <v>%</v>
      </c>
      <c r="K32" s="506" t="str">
        <f>'UBS Vila Dalva 1° SEM'!K19</f>
        <v>ABR</v>
      </c>
      <c r="L32" s="507" t="str">
        <f>'UBS Vila Dalva 1° SEM'!L19</f>
        <v>%</v>
      </c>
      <c r="M32" s="506" t="str">
        <f>'UBS Vila Dalva 1° SEM'!M19</f>
        <v>MAI</v>
      </c>
      <c r="N32" s="507" t="str">
        <f>'UBS Vila Dalva 1° SEM'!N19</f>
        <v>%</v>
      </c>
      <c r="O32" s="506" t="str">
        <f>'UBS Vila Dalva 1° SEM'!O19</f>
        <v>JUN</v>
      </c>
      <c r="P32" s="507" t="str">
        <f>'UBS Vila Dalva 1° SEM'!P19</f>
        <v>%</v>
      </c>
      <c r="Q32" s="508" t="str">
        <f>'UBS Vila Dalva 1° SEM'!Q19</f>
        <v>Trimestre</v>
      </c>
      <c r="R32" s="508" t="str">
        <f>'UBS Vila Dalva 1° SEM'!R19</f>
        <v>%</v>
      </c>
    </row>
    <row r="33" spans="1:18" ht="15.75" thickTop="1" x14ac:dyDescent="0.25">
      <c r="A33" s="512" t="str">
        <f>'UBS e NASF Jd D Abril 1° SEM'!A7</f>
        <v>ACS (Visita Domiciliar)</v>
      </c>
      <c r="B33" s="513">
        <f>'UBS e NASF Jd D Abril 1° SEM'!B7</f>
        <v>4800</v>
      </c>
      <c r="C33" s="514">
        <f>'UBS e NASF Jd D Abril 1° SEM'!C7</f>
        <v>4038</v>
      </c>
      <c r="D33" s="515">
        <f>'UBS e NASF Jd D Abril 1° SEM'!D7</f>
        <v>-0.15874999999999995</v>
      </c>
      <c r="E33" s="516">
        <f>'UBS e NASF Jd D Abril 1° SEM'!E7</f>
        <v>3960</v>
      </c>
      <c r="F33" s="515">
        <f>'UBS e NASF Jd D Abril 1° SEM'!F7</f>
        <v>-0.17500000000000004</v>
      </c>
      <c r="G33" s="516">
        <f>'UBS e NASF Jd D Abril 1° SEM'!G7</f>
        <v>4600</v>
      </c>
      <c r="H33" s="517">
        <f>'UBS e NASF Jd D Abril 1° SEM'!H7</f>
        <v>-4.166666666666663E-2</v>
      </c>
      <c r="I33" s="518">
        <f>'UBS e NASF Jd D Abril 1° SEM'!I7</f>
        <v>12598</v>
      </c>
      <c r="J33" s="519">
        <f>'UBS e NASF Jd D Abril 1° SEM'!J7</f>
        <v>-0.12513888888888891</v>
      </c>
      <c r="K33" s="516">
        <f>'UBS e NASF Jd D Abril 1° SEM'!K7</f>
        <v>4851</v>
      </c>
      <c r="L33" s="515">
        <f>'UBS e NASF Jd D Abril 1° SEM'!L7</f>
        <v>1.0625000000000107E-2</v>
      </c>
      <c r="M33" s="516">
        <f>'UBS e NASF Jd D Abril 1° SEM'!M7</f>
        <v>4614</v>
      </c>
      <c r="N33" s="515">
        <f>'UBS e NASF Jd D Abril 1° SEM'!N7</f>
        <v>-3.8749999999999951E-2</v>
      </c>
      <c r="O33" s="516">
        <f>'UBS e NASF Jd D Abril 1° SEM'!O7</f>
        <v>4066</v>
      </c>
      <c r="P33" s="517">
        <f>'UBS e NASF Jd D Abril 1° SEM'!P7</f>
        <v>-0.1529166666666667</v>
      </c>
      <c r="Q33" s="518">
        <f>'UBS e NASF Jd D Abril 1° SEM'!Q7</f>
        <v>13531</v>
      </c>
      <c r="R33" s="519">
        <f>'UBS e NASF Jd D Abril 1° SEM'!R7</f>
        <v>-6.0347222222222219E-2</v>
      </c>
    </row>
    <row r="34" spans="1:18" x14ac:dyDescent="0.25">
      <c r="A34" s="520" t="str">
        <f>'UBS e NASF Jd D Abril 1° SEM'!A8</f>
        <v xml:space="preserve">Médico Generelista (consulta) </v>
      </c>
      <c r="B34" s="521">
        <f>'UBS e NASF Jd D Abril 1° SEM'!B8</f>
        <v>1664</v>
      </c>
      <c r="C34" s="522">
        <f>'UBS e NASF Jd D Abril 1° SEM'!C8</f>
        <v>1262</v>
      </c>
      <c r="D34" s="515">
        <f>'UBS e NASF Jd D Abril 1° SEM'!D8</f>
        <v>-0.24158653846153844</v>
      </c>
      <c r="E34" s="523">
        <f>'UBS e NASF Jd D Abril 1° SEM'!E8</f>
        <v>1176</v>
      </c>
      <c r="F34" s="515">
        <f>'UBS e NASF Jd D Abril 1° SEM'!F8</f>
        <v>-0.29326923076923073</v>
      </c>
      <c r="G34" s="523">
        <f>'UBS e NASF Jd D Abril 1° SEM'!G8</f>
        <v>1680</v>
      </c>
      <c r="H34" s="517">
        <f>'UBS e NASF Jd D Abril 1° SEM'!H8</f>
        <v>9.6153846153845812E-3</v>
      </c>
      <c r="I34" s="518">
        <f>'UBS e NASF Jd D Abril 1° SEM'!I8</f>
        <v>4118</v>
      </c>
      <c r="J34" s="519">
        <f>'UBS e NASF Jd D Abril 1° SEM'!J8</f>
        <v>-0.17508012820512819</v>
      </c>
      <c r="K34" s="523">
        <f>'UBS e NASF Jd D Abril 1° SEM'!K8</f>
        <v>1491</v>
      </c>
      <c r="L34" s="515">
        <f>'UBS e NASF Jd D Abril 1° SEM'!L8</f>
        <v>-0.10396634615384615</v>
      </c>
      <c r="M34" s="523">
        <f>'UBS e NASF Jd D Abril 1° SEM'!M8</f>
        <v>1503</v>
      </c>
      <c r="N34" s="515">
        <f>'UBS e NASF Jd D Abril 1° SEM'!N8</f>
        <v>-9.6754807692307709E-2</v>
      </c>
      <c r="O34" s="523">
        <f>'UBS e NASF Jd D Abril 1° SEM'!O8</f>
        <v>1490</v>
      </c>
      <c r="P34" s="517">
        <f>'UBS e NASF Jd D Abril 1° SEM'!P8</f>
        <v>-0.10456730769230771</v>
      </c>
      <c r="Q34" s="518">
        <f>'UBS e NASF Jd D Abril 1° SEM'!Q8</f>
        <v>4484</v>
      </c>
      <c r="R34" s="519">
        <f>'UBS e NASF Jd D Abril 1° SEM'!R8</f>
        <v>-0.10176282051282048</v>
      </c>
    </row>
    <row r="35" spans="1:18" x14ac:dyDescent="0.25">
      <c r="A35" s="520" t="str">
        <f>'UBS e NASF Jd D Abril 1° SEM'!A9</f>
        <v xml:space="preserve">Enfermeiro (consulta) - ESF </v>
      </c>
      <c r="B35" s="521">
        <f>'UBS e NASF Jd D Abril 1° SEM'!B9</f>
        <v>624</v>
      </c>
      <c r="C35" s="522">
        <f>'UBS e NASF Jd D Abril 1° SEM'!C9</f>
        <v>617</v>
      </c>
      <c r="D35" s="515">
        <f>'UBS e NASF Jd D Abril 1° SEM'!D9</f>
        <v>-1.1217948717948678E-2</v>
      </c>
      <c r="E35" s="523">
        <f>'UBS e NASF Jd D Abril 1° SEM'!E9</f>
        <v>566</v>
      </c>
      <c r="F35" s="515">
        <f>'UBS e NASF Jd D Abril 1° SEM'!F9</f>
        <v>-9.2948717948717952E-2</v>
      </c>
      <c r="G35" s="523">
        <f>'UBS e NASF Jd D Abril 1° SEM'!G9</f>
        <v>586</v>
      </c>
      <c r="H35" s="517">
        <f>'UBS e NASF Jd D Abril 1° SEM'!H9</f>
        <v>-6.0897435897435903E-2</v>
      </c>
      <c r="I35" s="518">
        <f>'UBS e NASF Jd D Abril 1° SEM'!I9</f>
        <v>1769</v>
      </c>
      <c r="J35" s="519">
        <f>'UBS e NASF Jd D Abril 1° SEM'!J9</f>
        <v>-5.5021367521367548E-2</v>
      </c>
      <c r="K35" s="523">
        <f>'UBS e NASF Jd D Abril 1° SEM'!K9</f>
        <v>441</v>
      </c>
      <c r="L35" s="515">
        <f>'UBS e NASF Jd D Abril 1° SEM'!L9</f>
        <v>-0.29326923076923073</v>
      </c>
      <c r="M35" s="523">
        <f>'UBS e NASF Jd D Abril 1° SEM'!M9</f>
        <v>594</v>
      </c>
      <c r="N35" s="515">
        <f>'UBS e NASF Jd D Abril 1° SEM'!N9</f>
        <v>-4.8076923076923128E-2</v>
      </c>
      <c r="O35" s="523">
        <f>'UBS e NASF Jd D Abril 1° SEM'!O9</f>
        <v>464</v>
      </c>
      <c r="P35" s="517">
        <f>'UBS e NASF Jd D Abril 1° SEM'!P9</f>
        <v>-0.25641025641025639</v>
      </c>
      <c r="Q35" s="518">
        <f>'UBS e NASF Jd D Abril 1° SEM'!Q9</f>
        <v>1499</v>
      </c>
      <c r="R35" s="519">
        <f>'UBS e NASF Jd D Abril 1° SEM'!R9</f>
        <v>-0.19925213675213671</v>
      </c>
    </row>
    <row r="36" spans="1:18" ht="36" x14ac:dyDescent="0.25">
      <c r="A36" s="704" t="str">
        <f>'UBS e NASF Jd D Abril 1° SEM'!A10</f>
        <v>Cirurgião Dentista (atendimento individual) II - UBS</v>
      </c>
      <c r="B36" s="521">
        <f>'UBS e NASF Jd D Abril 1° SEM'!B10</f>
        <v>216</v>
      </c>
      <c r="C36" s="522">
        <f>'UBS e NASF Jd D Abril 1° SEM'!C10</f>
        <v>175</v>
      </c>
      <c r="D36" s="515">
        <f>'UBS e NASF Jd D Abril 1° SEM'!D10</f>
        <v>-0.18981481481481477</v>
      </c>
      <c r="E36" s="523">
        <f>'UBS e NASF Jd D Abril 1° SEM'!E10</f>
        <v>135</v>
      </c>
      <c r="F36" s="515">
        <f>'UBS e NASF Jd D Abril 1° SEM'!F10</f>
        <v>-0.375</v>
      </c>
      <c r="G36" s="523">
        <f>'UBS e NASF Jd D Abril 1° SEM'!G10</f>
        <v>220</v>
      </c>
      <c r="H36" s="517">
        <f>'UBS e NASF Jd D Abril 1° SEM'!H10</f>
        <v>1.8518518518518601E-2</v>
      </c>
      <c r="I36" s="518">
        <f>'UBS e NASF Jd D Abril 1° SEM'!I10</f>
        <v>530</v>
      </c>
      <c r="J36" s="519">
        <f>'UBS e NASF Jd D Abril 1° SEM'!J10</f>
        <v>-0.1820987654320988</v>
      </c>
      <c r="K36" s="523">
        <f>'UBS e NASF Jd D Abril 1° SEM'!K10</f>
        <v>98</v>
      </c>
      <c r="L36" s="515">
        <f>'UBS e NASF Jd D Abril 1° SEM'!L10</f>
        <v>-0.54629629629629628</v>
      </c>
      <c r="M36" s="523">
        <f>'UBS e NASF Jd D Abril 1° SEM'!M10</f>
        <v>212</v>
      </c>
      <c r="N36" s="515">
        <f>'UBS e NASF Jd D Abril 1° SEM'!N10</f>
        <v>-1.851851851851849E-2</v>
      </c>
      <c r="O36" s="523">
        <f>'UBS e NASF Jd D Abril 1° SEM'!O10</f>
        <v>187</v>
      </c>
      <c r="P36" s="517">
        <f>'UBS e NASF Jd D Abril 1° SEM'!P10</f>
        <v>-0.1342592592592593</v>
      </c>
      <c r="Q36" s="518">
        <f>'UBS e NASF Jd D Abril 1° SEM'!Q10</f>
        <v>497</v>
      </c>
      <c r="R36" s="519">
        <f>'UBS e NASF Jd D Abril 1° SEM'!R10</f>
        <v>-0.23302469135802473</v>
      </c>
    </row>
    <row r="37" spans="1:18" ht="24.75" thickBot="1" x14ac:dyDescent="0.3">
      <c r="A37" s="704" t="str">
        <f>'UBS e NASF Jd D Abril 1° SEM'!A11</f>
        <v>Cirurgião Dentista (procedimento) UBS</v>
      </c>
      <c r="B37" s="521">
        <f>'UBS e NASF Jd D Abril 1° SEM'!B11</f>
        <v>756</v>
      </c>
      <c r="C37" s="522">
        <f>'UBS e NASF Jd D Abril 1° SEM'!C11</f>
        <v>713</v>
      </c>
      <c r="D37" s="515">
        <f>'UBS e NASF Jd D Abril 1° SEM'!D11</f>
        <v>-5.6878306878306861E-2</v>
      </c>
      <c r="E37" s="523">
        <f>'UBS e NASF Jd D Abril 1° SEM'!E11</f>
        <v>595</v>
      </c>
      <c r="F37" s="515">
        <f>'UBS e NASF Jd D Abril 1° SEM'!F11</f>
        <v>-0.21296296296296291</v>
      </c>
      <c r="G37" s="523">
        <f>'UBS e NASF Jd D Abril 1° SEM'!G11</f>
        <v>1039</v>
      </c>
      <c r="H37" s="517">
        <f>'UBS e NASF Jd D Abril 1° SEM'!H11</f>
        <v>0.37433862433862441</v>
      </c>
      <c r="I37" s="518">
        <f>'UBS e NASF Jd D Abril 1° SEM'!I11</f>
        <v>2347</v>
      </c>
      <c r="J37" s="519">
        <f>'UBS e NASF Jd D Abril 1° SEM'!J11</f>
        <v>3.4832451499118067E-2</v>
      </c>
      <c r="K37" s="523">
        <f>'UBS e NASF Jd D Abril 1° SEM'!K11</f>
        <v>637</v>
      </c>
      <c r="L37" s="515">
        <f>'UBS e NASF Jd D Abril 1° SEM'!L11</f>
        <v>-0.15740740740740744</v>
      </c>
      <c r="M37" s="523">
        <f>'UBS e NASF Jd D Abril 1° SEM'!M11</f>
        <v>1009</v>
      </c>
      <c r="N37" s="515">
        <f>'UBS e NASF Jd D Abril 1° SEM'!N11</f>
        <v>0.33465608465608465</v>
      </c>
      <c r="O37" s="523">
        <f>'UBS e NASF Jd D Abril 1° SEM'!O11</f>
        <v>868</v>
      </c>
      <c r="P37" s="517">
        <f>'UBS e NASF Jd D Abril 1° SEM'!P11</f>
        <v>0.14814814814814814</v>
      </c>
      <c r="Q37" s="518">
        <f>'UBS e NASF Jd D Abril 1° SEM'!Q11</f>
        <v>2514</v>
      </c>
      <c r="R37" s="519">
        <f>'UBS e NASF Jd D Abril 1° SEM'!R11</f>
        <v>0.10846560846560838</v>
      </c>
    </row>
    <row r="38" spans="1:18" ht="15.75" thickBot="1" x14ac:dyDescent="0.3">
      <c r="A38" s="524" t="str">
        <f>'UBS e NASF Jd D Abril 1° SEM'!A12</f>
        <v>SOMA</v>
      </c>
      <c r="B38" s="525">
        <f>'UBS e NASF Jd D Abril 1° SEM'!B12</f>
        <v>8060</v>
      </c>
      <c r="C38" s="526">
        <f>'UBS e NASF Jd D Abril 1° SEM'!C12</f>
        <v>6805</v>
      </c>
      <c r="D38" s="527">
        <f>'UBS e NASF Jd D Abril 1° SEM'!D12</f>
        <v>-0.15570719602977667</v>
      </c>
      <c r="E38" s="526">
        <f>'UBS e NASF Jd D Abril 1° SEM'!E12</f>
        <v>6432</v>
      </c>
      <c r="F38" s="527">
        <f>'UBS e NASF Jd D Abril 1° SEM'!F12</f>
        <v>-0.20198511166253097</v>
      </c>
      <c r="G38" s="526">
        <f>'UBS e NASF Jd D Abril 1° SEM'!G12</f>
        <v>8125</v>
      </c>
      <c r="H38" s="528">
        <f>'UBS e NASF Jd D Abril 1° SEM'!H12</f>
        <v>8.0645161290322509E-3</v>
      </c>
      <c r="I38" s="529">
        <f>'UBS e NASF Jd D Abril 1° SEM'!I12</f>
        <v>21362</v>
      </c>
      <c r="J38" s="530">
        <f>'UBS e NASF Jd D Abril 1° SEM'!J12</f>
        <v>-0.1165425971877585</v>
      </c>
      <c r="K38" s="526">
        <f>'UBS e NASF Jd D Abril 1° SEM'!K12</f>
        <v>7518</v>
      </c>
      <c r="L38" s="527">
        <f>'UBS e NASF Jd D Abril 1° SEM'!L12</f>
        <v>-6.7245657568238193E-2</v>
      </c>
      <c r="M38" s="526">
        <f>'UBS e NASF Jd D Abril 1° SEM'!M12</f>
        <v>7932</v>
      </c>
      <c r="N38" s="527">
        <f>'UBS e NASF Jd D Abril 1° SEM'!N12</f>
        <v>-1.5880893300248111E-2</v>
      </c>
      <c r="O38" s="526">
        <f>'UBS e NASF Jd D Abril 1° SEM'!O12</f>
        <v>7075</v>
      </c>
      <c r="P38" s="528">
        <f>'UBS e NASF Jd D Abril 1° SEM'!P12</f>
        <v>-0.12220843672456572</v>
      </c>
      <c r="Q38" s="529">
        <f>'UBS e NASF Jd D Abril 1° SEM'!Q12</f>
        <v>22525</v>
      </c>
      <c r="R38" s="530">
        <f>'UBS e NASF Jd D Abril 1° SEM'!R12</f>
        <v>-6.8444995864350711E-2</v>
      </c>
    </row>
    <row r="40" spans="1:18" ht="15.75" x14ac:dyDescent="0.25">
      <c r="A40" s="827" t="s">
        <v>345</v>
      </c>
      <c r="B40" s="828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</row>
    <row r="41" spans="1:18" ht="24" x14ac:dyDescent="0.25">
      <c r="A41" s="506" t="s">
        <v>8</v>
      </c>
      <c r="B41" s="490" t="str">
        <f t="shared" ref="B41:R41" si="0">B32</f>
        <v>Meta / Mês</v>
      </c>
      <c r="C41" s="506" t="str">
        <f t="shared" si="0"/>
        <v>JAN</v>
      </c>
      <c r="D41" s="507" t="str">
        <f t="shared" si="0"/>
        <v>%</v>
      </c>
      <c r="E41" s="506" t="str">
        <f t="shared" si="0"/>
        <v>FEV</v>
      </c>
      <c r="F41" s="507" t="str">
        <f t="shared" si="0"/>
        <v>%</v>
      </c>
      <c r="G41" s="506" t="str">
        <f t="shared" si="0"/>
        <v>MAR</v>
      </c>
      <c r="H41" s="507" t="str">
        <f t="shared" si="0"/>
        <v>%</v>
      </c>
      <c r="I41" s="508" t="str">
        <f t="shared" si="0"/>
        <v>Trimestre</v>
      </c>
      <c r="J41" s="508" t="str">
        <f t="shared" si="0"/>
        <v>%</v>
      </c>
      <c r="K41" s="506" t="str">
        <f t="shared" si="0"/>
        <v>ABR</v>
      </c>
      <c r="L41" s="507" t="str">
        <f t="shared" si="0"/>
        <v>%</v>
      </c>
      <c r="M41" s="506" t="str">
        <f t="shared" si="0"/>
        <v>MAI</v>
      </c>
      <c r="N41" s="507" t="str">
        <f t="shared" si="0"/>
        <v>%</v>
      </c>
      <c r="O41" s="506" t="str">
        <f t="shared" si="0"/>
        <v>JUN</v>
      </c>
      <c r="P41" s="507" t="str">
        <f t="shared" si="0"/>
        <v>%</v>
      </c>
      <c r="Q41" s="508" t="str">
        <f t="shared" si="0"/>
        <v>Trimestre</v>
      </c>
      <c r="R41" s="508" t="str">
        <f t="shared" si="0"/>
        <v>%</v>
      </c>
    </row>
    <row r="42" spans="1:18" x14ac:dyDescent="0.25">
      <c r="A42" s="509" t="str">
        <f>'UBS Jd Jaqueline 1° SEM'!A7</f>
        <v>ACS (Visita Domiciliar) - ESF</v>
      </c>
      <c r="B42" s="494">
        <f>'UBS Jd Jaqueline 1° SEM'!B7</f>
        <v>3600</v>
      </c>
      <c r="C42" s="495">
        <f>'UBS Jd Jaqueline 1° SEM'!C7</f>
        <v>1013</v>
      </c>
      <c r="D42" s="531">
        <f>'UBS Jd Jaqueline 1° SEM'!D7</f>
        <v>-0.71861111111111109</v>
      </c>
      <c r="E42" s="495">
        <f>'UBS Jd Jaqueline 1° SEM'!E7</f>
        <v>3412</v>
      </c>
      <c r="F42" s="531">
        <f>'UBS Jd Jaqueline 1° SEM'!F7</f>
        <v>-5.222222222222217E-2</v>
      </c>
      <c r="G42" s="495">
        <f>'UBS Jd Jaqueline 1° SEM'!G7</f>
        <v>4449</v>
      </c>
      <c r="H42" s="531">
        <f>'UBS Jd Jaqueline 1° SEM'!H7</f>
        <v>0.23583333333333334</v>
      </c>
      <c r="I42" s="497">
        <f>'UBS Jd Jaqueline 1° SEM'!I7</f>
        <v>8874</v>
      </c>
      <c r="J42" s="532">
        <f>'UBS Jd Jaqueline 1° SEM'!J7</f>
        <v>-0.17833333333333334</v>
      </c>
      <c r="K42" s="495">
        <f>'UBS Jd Jaqueline 1° SEM'!K7</f>
        <v>3460</v>
      </c>
      <c r="L42" s="531">
        <f>'UBS Jd Jaqueline 1° SEM'!L7</f>
        <v>-3.8888888888888862E-2</v>
      </c>
      <c r="M42" s="495">
        <f>'UBS Jd Jaqueline 1° SEM'!M7</f>
        <v>4567</v>
      </c>
      <c r="N42" s="531">
        <f>'UBS Jd Jaqueline 1° SEM'!N7</f>
        <v>0.26861111111111113</v>
      </c>
      <c r="O42" s="495">
        <f>'UBS Jd Jaqueline 1° SEM'!O7</f>
        <v>4536</v>
      </c>
      <c r="P42" s="531">
        <f>'UBS Jd Jaqueline 1° SEM'!P7</f>
        <v>0.26</v>
      </c>
      <c r="Q42" s="497">
        <f>'UBS Jd Jaqueline 1° SEM'!Q7</f>
        <v>12563</v>
      </c>
      <c r="R42" s="532">
        <f>'UBS Jd Jaqueline 1° SEM'!R7</f>
        <v>0.1632407407407408</v>
      </c>
    </row>
    <row r="43" spans="1:18" x14ac:dyDescent="0.25">
      <c r="A43" s="509" t="str">
        <f>'UBS Jd Jaqueline 1° SEM'!A8</f>
        <v xml:space="preserve">Médico Generelista (consulta) </v>
      </c>
      <c r="B43" s="494">
        <f>'UBS Jd Jaqueline 1° SEM'!B8</f>
        <v>1248</v>
      </c>
      <c r="C43" s="495">
        <f>'UBS Jd Jaqueline 1° SEM'!C8</f>
        <v>429</v>
      </c>
      <c r="D43" s="531">
        <f>'UBS Jd Jaqueline 1° SEM'!D8</f>
        <v>-0.65625</v>
      </c>
      <c r="E43" s="495">
        <f>'UBS Jd Jaqueline 1° SEM'!E8</f>
        <v>612</v>
      </c>
      <c r="F43" s="531">
        <f>'UBS Jd Jaqueline 1° SEM'!F8</f>
        <v>-0.50961538461538458</v>
      </c>
      <c r="G43" s="495">
        <f>'UBS Jd Jaqueline 1° SEM'!G8</f>
        <v>778</v>
      </c>
      <c r="H43" s="531">
        <f>'UBS Jd Jaqueline 1° SEM'!H8</f>
        <v>-0.3766025641025641</v>
      </c>
      <c r="I43" s="497">
        <f>'UBS Jd Jaqueline 1° SEM'!I8</f>
        <v>1819</v>
      </c>
      <c r="J43" s="532">
        <f>'UBS Jd Jaqueline 1° SEM'!J8</f>
        <v>-0.51415598290598297</v>
      </c>
      <c r="K43" s="495">
        <f>'UBS Jd Jaqueline 1° SEM'!K8</f>
        <v>657</v>
      </c>
      <c r="L43" s="531">
        <f>'UBS Jd Jaqueline 1° SEM'!L8</f>
        <v>-0.47355769230769229</v>
      </c>
      <c r="M43" s="495">
        <f>'UBS Jd Jaqueline 1° SEM'!M8</f>
        <v>896</v>
      </c>
      <c r="N43" s="531">
        <f>'UBS Jd Jaqueline 1° SEM'!N8</f>
        <v>-0.28205128205128205</v>
      </c>
      <c r="O43" s="495">
        <f>'UBS Jd Jaqueline 1° SEM'!O8</f>
        <v>695</v>
      </c>
      <c r="P43" s="531">
        <f>'UBS Jd Jaqueline 1° SEM'!P8</f>
        <v>-0.44310897435897434</v>
      </c>
      <c r="Q43" s="497">
        <f>'UBS Jd Jaqueline 1° SEM'!Q8</f>
        <v>2248</v>
      </c>
      <c r="R43" s="532">
        <f>'UBS Jd Jaqueline 1° SEM'!R8</f>
        <v>-0.3995726495726496</v>
      </c>
    </row>
    <row r="44" spans="1:18" x14ac:dyDescent="0.25">
      <c r="A44" s="509" t="str">
        <f>'UBS Jd Jaqueline 1° SEM'!A9</f>
        <v xml:space="preserve">Enfermeiro (consulta) - ESF </v>
      </c>
      <c r="B44" s="494">
        <f>'UBS Jd Jaqueline 1° SEM'!B9</f>
        <v>468</v>
      </c>
      <c r="C44" s="495">
        <f>'UBS Jd Jaqueline 1° SEM'!C9</f>
        <v>134</v>
      </c>
      <c r="D44" s="531">
        <f>'UBS Jd Jaqueline 1° SEM'!D9</f>
        <v>-0.71367521367521369</v>
      </c>
      <c r="E44" s="495">
        <f>'UBS Jd Jaqueline 1° SEM'!E9</f>
        <v>276</v>
      </c>
      <c r="F44" s="531">
        <f>'UBS Jd Jaqueline 1° SEM'!F9</f>
        <v>-0.41025641025641024</v>
      </c>
      <c r="G44" s="495">
        <f>'UBS Jd Jaqueline 1° SEM'!G9</f>
        <v>562</v>
      </c>
      <c r="H44" s="531">
        <f>'UBS Jd Jaqueline 1° SEM'!H9</f>
        <v>0.20085470085470081</v>
      </c>
      <c r="I44" s="497">
        <f>'UBS Jd Jaqueline 1° SEM'!I9</f>
        <v>972</v>
      </c>
      <c r="J44" s="532">
        <f>'UBS Jd Jaqueline 1° SEM'!J9</f>
        <v>-0.30769230769230771</v>
      </c>
      <c r="K44" s="495">
        <f>'UBS Jd Jaqueline 1° SEM'!K9</f>
        <v>459</v>
      </c>
      <c r="L44" s="531">
        <f>'UBS Jd Jaqueline 1° SEM'!L9</f>
        <v>-1.9230769230769273E-2</v>
      </c>
      <c r="M44" s="495">
        <f>'UBS Jd Jaqueline 1° SEM'!M9</f>
        <v>554</v>
      </c>
      <c r="N44" s="531">
        <f>'UBS Jd Jaqueline 1° SEM'!N9</f>
        <v>0.18376068376068377</v>
      </c>
      <c r="O44" s="495">
        <f>'UBS Jd Jaqueline 1° SEM'!O9</f>
        <v>385</v>
      </c>
      <c r="P44" s="531">
        <f>'UBS Jd Jaqueline 1° SEM'!P9</f>
        <v>-0.17735042735042739</v>
      </c>
      <c r="Q44" s="497">
        <f>'UBS Jd Jaqueline 1° SEM'!Q9</f>
        <v>1398</v>
      </c>
      <c r="R44" s="532">
        <f>'UBS Jd Jaqueline 1° SEM'!R9</f>
        <v>-4.2735042735042583E-3</v>
      </c>
    </row>
    <row r="45" spans="1:18" x14ac:dyDescent="0.25">
      <c r="A45" s="510" t="str">
        <f>'UBS Jd Jaqueline 1° SEM'!A10</f>
        <v>SOMA</v>
      </c>
      <c r="B45" s="494">
        <f>'UBS Jd Jaqueline 1° SEM'!B10</f>
        <v>5316</v>
      </c>
      <c r="C45" s="504">
        <f>'UBS Jd Jaqueline 1° SEM'!C10</f>
        <v>1576</v>
      </c>
      <c r="D45" s="496">
        <f>'UBS Jd Jaqueline 1° SEM'!D10</f>
        <v>-0.70353649360421366</v>
      </c>
      <c r="E45" s="504">
        <f>'UBS Jd Jaqueline 1° SEM'!E10</f>
        <v>4300</v>
      </c>
      <c r="F45" s="496">
        <f>'UBS Jd Jaqueline 1° SEM'!F10</f>
        <v>-0.19112114371708055</v>
      </c>
      <c r="G45" s="504">
        <f>'UBS Jd Jaqueline 1° SEM'!G10</f>
        <v>5789</v>
      </c>
      <c r="H45" s="496">
        <f>'UBS Jd Jaqueline 1° SEM'!H10</f>
        <v>8.8976674191121097E-2</v>
      </c>
      <c r="I45" s="505">
        <f>'UBS Jd Jaqueline 1° SEM'!I10</f>
        <v>11665</v>
      </c>
      <c r="J45" s="498">
        <f>'UBS Jd Jaqueline 1° SEM'!J10</f>
        <v>-0.268560321043391</v>
      </c>
      <c r="K45" s="504">
        <f>'UBS Jd Jaqueline 1° SEM'!K10</f>
        <v>4576</v>
      </c>
      <c r="L45" s="496">
        <f>'UBS Jd Jaqueline 1° SEM'!L10</f>
        <v>-0.13920240782543269</v>
      </c>
      <c r="M45" s="504">
        <f>'UBS Jd Jaqueline 1° SEM'!M10</f>
        <v>6017</v>
      </c>
      <c r="N45" s="496">
        <f>'UBS Jd Jaqueline 1° SEM'!N10</f>
        <v>0.13186606471030848</v>
      </c>
      <c r="O45" s="504">
        <f>'UBS Jd Jaqueline 1° SEM'!O10</f>
        <v>5616</v>
      </c>
      <c r="P45" s="496">
        <f>'UBS Jd Jaqueline 1° SEM'!P10</f>
        <v>5.6433408577878152E-2</v>
      </c>
      <c r="Q45" s="505">
        <f>'UBS Jd Jaqueline 1° SEM'!Q10</f>
        <v>16209</v>
      </c>
      <c r="R45" s="498">
        <f>'UBS Jd Jaqueline 1° SEM'!R10</f>
        <v>1.6365688487584684E-2</v>
      </c>
    </row>
    <row r="47" spans="1:18" ht="15.75" x14ac:dyDescent="0.25">
      <c r="A47" s="827" t="s">
        <v>347</v>
      </c>
      <c r="B47" s="828"/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</row>
    <row r="48" spans="1:18" ht="24.75" thickBot="1" x14ac:dyDescent="0.3">
      <c r="A48" s="533" t="s">
        <v>8</v>
      </c>
      <c r="B48" s="534" t="s">
        <v>9</v>
      </c>
      <c r="C48" s="535" t="str">
        <f t="shared" ref="C48:R48" si="1">C32</f>
        <v>JAN</v>
      </c>
      <c r="D48" s="536" t="str">
        <f t="shared" si="1"/>
        <v>%</v>
      </c>
      <c r="E48" s="535" t="str">
        <f t="shared" si="1"/>
        <v>FEV</v>
      </c>
      <c r="F48" s="536" t="str">
        <f t="shared" si="1"/>
        <v>%</v>
      </c>
      <c r="G48" s="535" t="str">
        <f t="shared" si="1"/>
        <v>MAR</v>
      </c>
      <c r="H48" s="536" t="str">
        <f t="shared" si="1"/>
        <v>%</v>
      </c>
      <c r="I48" s="537" t="str">
        <f t="shared" si="1"/>
        <v>Trimestre</v>
      </c>
      <c r="J48" s="537" t="str">
        <f t="shared" si="1"/>
        <v>%</v>
      </c>
      <c r="K48" s="535" t="str">
        <f t="shared" si="1"/>
        <v>ABR</v>
      </c>
      <c r="L48" s="536" t="str">
        <f t="shared" si="1"/>
        <v>%</v>
      </c>
      <c r="M48" s="535" t="str">
        <f t="shared" si="1"/>
        <v>MAI</v>
      </c>
      <c r="N48" s="536" t="str">
        <f t="shared" si="1"/>
        <v>%</v>
      </c>
      <c r="O48" s="535" t="str">
        <f t="shared" si="1"/>
        <v>JUN</v>
      </c>
      <c r="P48" s="536" t="str">
        <f t="shared" si="1"/>
        <v>%</v>
      </c>
      <c r="Q48" s="537" t="str">
        <f t="shared" si="1"/>
        <v>Trimestre</v>
      </c>
      <c r="R48" s="537" t="str">
        <f t="shared" si="1"/>
        <v>%</v>
      </c>
    </row>
    <row r="49" spans="1:18" ht="15.75" thickTop="1" x14ac:dyDescent="0.25">
      <c r="A49" s="538" t="str">
        <f>'UBS E NASF Malta Cardoso 1° SEM'!A7</f>
        <v>ACS</v>
      </c>
      <c r="B49" s="513">
        <f>'UBS E NASF Malta Cardoso 1° SEM'!B7</f>
        <v>3600</v>
      </c>
      <c r="C49" s="514">
        <f>'UBS E NASF Malta Cardoso 1° SEM'!C7</f>
        <v>2723</v>
      </c>
      <c r="D49" s="539">
        <f>'UBS E NASF Malta Cardoso 1° SEM'!D7</f>
        <v>-0.24361111111111111</v>
      </c>
      <c r="E49" s="516">
        <f>'UBS E NASF Malta Cardoso 1° SEM'!E7</f>
        <v>2323</v>
      </c>
      <c r="F49" s="539">
        <f>'UBS E NASF Malta Cardoso 1° SEM'!F7</f>
        <v>-0.35472222222222227</v>
      </c>
      <c r="G49" s="516">
        <f>'UBS E NASF Malta Cardoso 1° SEM'!G7</f>
        <v>2913</v>
      </c>
      <c r="H49" s="539">
        <f>'UBS E NASF Malta Cardoso 1° SEM'!H7</f>
        <v>-0.1908333333333333</v>
      </c>
      <c r="I49" s="518">
        <f>'UBS E NASF Malta Cardoso 1° SEM'!I7</f>
        <v>7959</v>
      </c>
      <c r="J49" s="540">
        <f>'UBS E NASF Malta Cardoso 1° SEM'!J7</f>
        <v>-0.2630555555555556</v>
      </c>
      <c r="K49" s="516">
        <f>'UBS E NASF Malta Cardoso 1° SEM'!K7</f>
        <v>2756</v>
      </c>
      <c r="L49" s="539">
        <f>'UBS E NASF Malta Cardoso 1° SEM'!L7</f>
        <v>-0.23444444444444446</v>
      </c>
      <c r="M49" s="516">
        <f>'UBS E NASF Malta Cardoso 1° SEM'!M7</f>
        <v>2921</v>
      </c>
      <c r="N49" s="539">
        <f>'UBS E NASF Malta Cardoso 1° SEM'!N7</f>
        <v>-0.18861111111111106</v>
      </c>
      <c r="O49" s="516">
        <f>'UBS E NASF Malta Cardoso 1° SEM'!O7</f>
        <v>2793</v>
      </c>
      <c r="P49" s="539">
        <f>'UBS E NASF Malta Cardoso 1° SEM'!P7</f>
        <v>-0.22416666666666663</v>
      </c>
      <c r="Q49" s="518">
        <f>'UBS E NASF Malta Cardoso 1° SEM'!Q7</f>
        <v>8470</v>
      </c>
      <c r="R49" s="540">
        <f>'UBS E NASF Malta Cardoso 1° SEM'!R7</f>
        <v>-0.21574074074074079</v>
      </c>
    </row>
    <row r="50" spans="1:18" x14ac:dyDescent="0.25">
      <c r="A50" s="538" t="str">
        <f>'UBS E NASF Malta Cardoso 1° SEM'!A8</f>
        <v>Médico Generalista</v>
      </c>
      <c r="B50" s="541">
        <f>'UBS E NASF Malta Cardoso 1° SEM'!B8</f>
        <v>1248</v>
      </c>
      <c r="C50" s="542">
        <f>'UBS E NASF Malta Cardoso 1° SEM'!C8</f>
        <v>730</v>
      </c>
      <c r="D50" s="539">
        <f>'UBS E NASF Malta Cardoso 1° SEM'!D8</f>
        <v>-0.41506410256410253</v>
      </c>
      <c r="E50" s="523">
        <f>'UBS E NASF Malta Cardoso 1° SEM'!E8</f>
        <v>580</v>
      </c>
      <c r="F50" s="539">
        <f>'UBS E NASF Malta Cardoso 1° SEM'!F8</f>
        <v>-0.53525641025641024</v>
      </c>
      <c r="G50" s="523">
        <f>'UBS E NASF Malta Cardoso 1° SEM'!G8</f>
        <v>856</v>
      </c>
      <c r="H50" s="539">
        <f>'UBS E NASF Malta Cardoso 1° SEM'!H8</f>
        <v>-0.3141025641025641</v>
      </c>
      <c r="I50" s="518">
        <f>'UBS E NASF Malta Cardoso 1° SEM'!I8</f>
        <v>2166</v>
      </c>
      <c r="J50" s="540">
        <f>'UBS E NASF Malta Cardoso 1° SEM'!J8</f>
        <v>-0.42147435897435892</v>
      </c>
      <c r="K50" s="523">
        <f>'UBS E NASF Malta Cardoso 1° SEM'!K8</f>
        <v>610</v>
      </c>
      <c r="L50" s="539">
        <f>'UBS E NASF Malta Cardoso 1° SEM'!L8</f>
        <v>-0.51121794871794868</v>
      </c>
      <c r="M50" s="523">
        <f>'UBS E NASF Malta Cardoso 1° SEM'!M8</f>
        <v>1094</v>
      </c>
      <c r="N50" s="539">
        <f>'UBS E NASF Malta Cardoso 1° SEM'!N8</f>
        <v>-0.1233974358974359</v>
      </c>
      <c r="O50" s="523">
        <f>'UBS E NASF Malta Cardoso 1° SEM'!O8</f>
        <v>754</v>
      </c>
      <c r="P50" s="539">
        <f>'UBS E NASF Malta Cardoso 1° SEM'!P8</f>
        <v>-0.39583333333333337</v>
      </c>
      <c r="Q50" s="518">
        <f>'UBS E NASF Malta Cardoso 1° SEM'!Q8</f>
        <v>2458</v>
      </c>
      <c r="R50" s="540">
        <f>'UBS E NASF Malta Cardoso 1° SEM'!R8</f>
        <v>-0.34348290598290598</v>
      </c>
    </row>
    <row r="51" spans="1:18" x14ac:dyDescent="0.25">
      <c r="A51" s="538" t="str">
        <f>'UBS E NASF Malta Cardoso 1° SEM'!A9</f>
        <v>Enfermeiro - ESF</v>
      </c>
      <c r="B51" s="541">
        <f>'UBS E NASF Malta Cardoso 1° SEM'!B9</f>
        <v>469</v>
      </c>
      <c r="C51" s="542">
        <f>'UBS E NASF Malta Cardoso 1° SEM'!C9</f>
        <v>455</v>
      </c>
      <c r="D51" s="539">
        <f>'UBS E NASF Malta Cardoso 1° SEM'!D9</f>
        <v>-2.9850746268656692E-2</v>
      </c>
      <c r="E51" s="523">
        <f>'UBS E NASF Malta Cardoso 1° SEM'!E9</f>
        <v>442</v>
      </c>
      <c r="F51" s="539">
        <f>'UBS E NASF Malta Cardoso 1° SEM'!F9</f>
        <v>-5.7569296375266532E-2</v>
      </c>
      <c r="G51" s="523">
        <f>'UBS E NASF Malta Cardoso 1° SEM'!G9</f>
        <v>404</v>
      </c>
      <c r="H51" s="539">
        <f>'UBS E NASF Malta Cardoso 1° SEM'!H9</f>
        <v>-0.13859275053304909</v>
      </c>
      <c r="I51" s="518">
        <f>'UBS E NASF Malta Cardoso 1° SEM'!I9</f>
        <v>1301</v>
      </c>
      <c r="J51" s="540">
        <f>'UBS E NASF Malta Cardoso 1° SEM'!J9</f>
        <v>-7.5337597725657401E-2</v>
      </c>
      <c r="K51" s="523">
        <f>'UBS E NASF Malta Cardoso 1° SEM'!K9</f>
        <v>398</v>
      </c>
      <c r="L51" s="539">
        <f>'UBS E NASF Malta Cardoso 1° SEM'!L9</f>
        <v>-0.15138592750533053</v>
      </c>
      <c r="M51" s="523">
        <f>'UBS E NASF Malta Cardoso 1° SEM'!M9</f>
        <v>591</v>
      </c>
      <c r="N51" s="539">
        <f>'UBS E NASF Malta Cardoso 1° SEM'!N9</f>
        <v>0.26012793176972271</v>
      </c>
      <c r="O51" s="523">
        <f>'UBS E NASF Malta Cardoso 1° SEM'!O9</f>
        <v>367</v>
      </c>
      <c r="P51" s="539">
        <f>'UBS E NASF Malta Cardoso 1° SEM'!P9</f>
        <v>-0.21748400852878469</v>
      </c>
      <c r="Q51" s="518">
        <f>'UBS E NASF Malta Cardoso 1° SEM'!Q9</f>
        <v>1356</v>
      </c>
      <c r="R51" s="540">
        <f>'UBS E NASF Malta Cardoso 1° SEM'!R9</f>
        <v>-3.6247334754797467E-2</v>
      </c>
    </row>
    <row r="52" spans="1:18" ht="24" x14ac:dyDescent="0.25">
      <c r="A52" s="703" t="str">
        <f>'UBS E NASF Malta Cardoso 1° SEM'!A10</f>
        <v>Cirurgião Dentista - ESB I (atendimento individual)</v>
      </c>
      <c r="B52" s="543">
        <f>'UBS E NASF Malta Cardoso 1° SEM'!B10</f>
        <v>192</v>
      </c>
      <c r="C52" s="544">
        <f>'UBS E NASF Malta Cardoso 1° SEM'!C10</f>
        <v>143</v>
      </c>
      <c r="D52" s="545">
        <f>'UBS E NASF Malta Cardoso 1° SEM'!D10</f>
        <v>-0.25520833333333337</v>
      </c>
      <c r="E52" s="544">
        <f>'UBS E NASF Malta Cardoso 1° SEM'!E10</f>
        <v>250</v>
      </c>
      <c r="F52" s="545">
        <f>'UBS E NASF Malta Cardoso 1° SEM'!F10</f>
        <v>0.30208333333333326</v>
      </c>
      <c r="G52" s="544">
        <f>'UBS E NASF Malta Cardoso 1° SEM'!G10</f>
        <v>211</v>
      </c>
      <c r="H52" s="545">
        <f>'UBS E NASF Malta Cardoso 1° SEM'!H10</f>
        <v>9.8958333333333259E-2</v>
      </c>
      <c r="I52" s="546">
        <f>'UBS E NASF Malta Cardoso 1° SEM'!I10</f>
        <v>604</v>
      </c>
      <c r="J52" s="547">
        <f>'UBS E NASF Malta Cardoso 1° SEM'!J10</f>
        <v>4.861111111111116E-2</v>
      </c>
      <c r="K52" s="544">
        <f>'UBS E NASF Malta Cardoso 1° SEM'!K10</f>
        <v>117</v>
      </c>
      <c r="L52" s="545">
        <f>'UBS E NASF Malta Cardoso 1° SEM'!L10</f>
        <v>-0.390625</v>
      </c>
      <c r="M52" s="544">
        <f>'UBS E NASF Malta Cardoso 1° SEM'!M10</f>
        <v>216</v>
      </c>
      <c r="N52" s="545">
        <f>'UBS E NASF Malta Cardoso 1° SEM'!N10</f>
        <v>0.125</v>
      </c>
      <c r="O52" s="544">
        <f>'UBS E NASF Malta Cardoso 1° SEM'!O10</f>
        <v>222</v>
      </c>
      <c r="P52" s="545">
        <f>'UBS E NASF Malta Cardoso 1° SEM'!P10</f>
        <v>0.15625</v>
      </c>
      <c r="Q52" s="546">
        <f>'UBS E NASF Malta Cardoso 1° SEM'!Q10</f>
        <v>555</v>
      </c>
      <c r="R52" s="547">
        <f>'UBS E NASF Malta Cardoso 1° SEM'!R10</f>
        <v>-3.645833333333337E-2</v>
      </c>
    </row>
    <row r="53" spans="1:18" ht="24" x14ac:dyDescent="0.25">
      <c r="A53" s="703" t="str">
        <f>'UBS E NASF Malta Cardoso 1° SEM'!A11</f>
        <v>Cirurgião Dentista - ESB I (procedimento)</v>
      </c>
      <c r="B53" s="494">
        <f>'UBS E NASF Malta Cardoso 1° SEM'!B11</f>
        <v>672</v>
      </c>
      <c r="C53" s="495">
        <f>'UBS E NASF Malta Cardoso 1° SEM'!C11</f>
        <v>674</v>
      </c>
      <c r="D53" s="496">
        <f>'UBS E NASF Malta Cardoso 1° SEM'!D11</f>
        <v>2.9761904761904656E-3</v>
      </c>
      <c r="E53" s="495">
        <f>'UBS E NASF Malta Cardoso 1° SEM'!E11</f>
        <v>629</v>
      </c>
      <c r="F53" s="496">
        <f>'UBS E NASF Malta Cardoso 1° SEM'!F11</f>
        <v>-6.3988095238095233E-2</v>
      </c>
      <c r="G53" s="495">
        <f>'UBS E NASF Malta Cardoso 1° SEM'!G11</f>
        <v>944</v>
      </c>
      <c r="H53" s="496">
        <f>'UBS E NASF Malta Cardoso 1° SEM'!H11</f>
        <v>0.40476190476190466</v>
      </c>
      <c r="I53" s="497">
        <f>'UBS E NASF Malta Cardoso 1° SEM'!I11</f>
        <v>2247</v>
      </c>
      <c r="J53" s="498">
        <f>'UBS E NASF Malta Cardoso 1° SEM'!J11</f>
        <v>0.11458333333333326</v>
      </c>
      <c r="K53" s="495">
        <f>'UBS E NASF Malta Cardoso 1° SEM'!K11</f>
        <v>1880</v>
      </c>
      <c r="L53" s="496">
        <f>'UBS E NASF Malta Cardoso 1° SEM'!L11</f>
        <v>1.7976190476190474</v>
      </c>
      <c r="M53" s="495">
        <f>'UBS E NASF Malta Cardoso 1° SEM'!M11</f>
        <v>974</v>
      </c>
      <c r="N53" s="496">
        <f>'UBS E NASF Malta Cardoso 1° SEM'!N11</f>
        <v>0.44940476190476186</v>
      </c>
      <c r="O53" s="495">
        <f>'UBS E NASF Malta Cardoso 1° SEM'!O11</f>
        <v>811</v>
      </c>
      <c r="P53" s="496">
        <f>'UBS E NASF Malta Cardoso 1° SEM'!P11</f>
        <v>0.20684523809523814</v>
      </c>
      <c r="Q53" s="497">
        <f>'UBS E NASF Malta Cardoso 1° SEM'!Q11</f>
        <v>3665</v>
      </c>
      <c r="R53" s="498">
        <f>'UBS E NASF Malta Cardoso 1° SEM'!R11</f>
        <v>0.8179563492063493</v>
      </c>
    </row>
    <row r="54" spans="1:18" ht="24" x14ac:dyDescent="0.25">
      <c r="A54" s="493" t="str">
        <f>'UBS E NASF Malta Cardoso 1° SEM'!A12</f>
        <v>Cirurgião Dentista (atendimento individual)</v>
      </c>
      <c r="B54" s="494">
        <f>'UBS E NASF Malta Cardoso 1° SEM'!B12</f>
        <v>288</v>
      </c>
      <c r="C54" s="495">
        <f>'UBS E NASF Malta Cardoso 1° SEM'!C12</f>
        <v>0</v>
      </c>
      <c r="D54" s="496">
        <f>'UBS E NASF Malta Cardoso 1° SEM'!D12</f>
        <v>-1</v>
      </c>
      <c r="E54" s="495">
        <f>'UBS E NASF Malta Cardoso 1° SEM'!E12</f>
        <v>0</v>
      </c>
      <c r="F54" s="496">
        <f>'UBS E NASF Malta Cardoso 1° SEM'!F12</f>
        <v>-1</v>
      </c>
      <c r="G54" s="495">
        <f>'UBS E NASF Malta Cardoso 1° SEM'!G12</f>
        <v>0</v>
      </c>
      <c r="H54" s="496">
        <f>'UBS E NASF Malta Cardoso 1° SEM'!H12</f>
        <v>-1</v>
      </c>
      <c r="I54" s="497">
        <f>'UBS E NASF Malta Cardoso 1° SEM'!I12</f>
        <v>0</v>
      </c>
      <c r="J54" s="498">
        <f>'UBS E NASF Malta Cardoso 1° SEM'!J12</f>
        <v>-1</v>
      </c>
      <c r="K54" s="495">
        <f>'UBS E NASF Malta Cardoso 1° SEM'!K12</f>
        <v>0</v>
      </c>
      <c r="L54" s="496">
        <f>'UBS E NASF Malta Cardoso 1° SEM'!L12</f>
        <v>-1</v>
      </c>
      <c r="M54" s="495">
        <f>'UBS E NASF Malta Cardoso 1° SEM'!M12</f>
        <v>0</v>
      </c>
      <c r="N54" s="496">
        <f>'UBS E NASF Malta Cardoso 1° SEM'!N12</f>
        <v>-1</v>
      </c>
      <c r="O54" s="495">
        <f>'UBS E NASF Malta Cardoso 1° SEM'!O12</f>
        <v>0</v>
      </c>
      <c r="P54" s="496">
        <f>'UBS E NASF Malta Cardoso 1° SEM'!P12</f>
        <v>-1</v>
      </c>
      <c r="Q54" s="497">
        <f>'UBS E NASF Malta Cardoso 1° SEM'!Q12</f>
        <v>0</v>
      </c>
      <c r="R54" s="498">
        <f>'UBS E NASF Malta Cardoso 1° SEM'!R12</f>
        <v>-1</v>
      </c>
    </row>
    <row r="55" spans="1:18" ht="24" x14ac:dyDescent="0.25">
      <c r="A55" s="493" t="str">
        <f>'UBS E NASF Malta Cardoso 1° SEM'!A13</f>
        <v>Cirurgião Dentista (procedimento)</v>
      </c>
      <c r="B55" s="494">
        <f>'UBS E NASF Malta Cardoso 1° SEM'!B13</f>
        <v>1008</v>
      </c>
      <c r="C55" s="495">
        <f>'UBS E NASF Malta Cardoso 1° SEM'!C13</f>
        <v>0</v>
      </c>
      <c r="D55" s="496">
        <f>'UBS E NASF Malta Cardoso 1° SEM'!D13</f>
        <v>-1</v>
      </c>
      <c r="E55" s="495">
        <f>'UBS E NASF Malta Cardoso 1° SEM'!E13</f>
        <v>0</v>
      </c>
      <c r="F55" s="496">
        <f>'UBS E NASF Malta Cardoso 1° SEM'!F13</f>
        <v>-1</v>
      </c>
      <c r="G55" s="495">
        <f>'UBS E NASF Malta Cardoso 1° SEM'!G13</f>
        <v>0</v>
      </c>
      <c r="H55" s="496">
        <f>'UBS E NASF Malta Cardoso 1° SEM'!H13</f>
        <v>-1</v>
      </c>
      <c r="I55" s="497">
        <f>'UBS E NASF Malta Cardoso 1° SEM'!I13</f>
        <v>0</v>
      </c>
      <c r="J55" s="498">
        <f>'UBS E NASF Malta Cardoso 1° SEM'!J13</f>
        <v>-1</v>
      </c>
      <c r="K55" s="495">
        <f>'UBS E NASF Malta Cardoso 1° SEM'!K13</f>
        <v>0</v>
      </c>
      <c r="L55" s="496">
        <f>'UBS E NASF Malta Cardoso 1° SEM'!L13</f>
        <v>-1</v>
      </c>
      <c r="M55" s="495">
        <f>'UBS E NASF Malta Cardoso 1° SEM'!M13</f>
        <v>0</v>
      </c>
      <c r="N55" s="496">
        <f>'UBS E NASF Malta Cardoso 1° SEM'!N13</f>
        <v>-1</v>
      </c>
      <c r="O55" s="495">
        <f>'UBS E NASF Malta Cardoso 1° SEM'!O13</f>
        <v>0</v>
      </c>
      <c r="P55" s="496">
        <f>'UBS E NASF Malta Cardoso 1° SEM'!P13</f>
        <v>-1</v>
      </c>
      <c r="Q55" s="497">
        <f>'UBS E NASF Malta Cardoso 1° SEM'!Q13</f>
        <v>0</v>
      </c>
      <c r="R55" s="498">
        <f>'UBS E NASF Malta Cardoso 1° SEM'!R13</f>
        <v>-1</v>
      </c>
    </row>
    <row r="56" spans="1:18" x14ac:dyDescent="0.25">
      <c r="A56" s="509" t="str">
        <f>'UBS E NASF Malta Cardoso 1° SEM'!A14</f>
        <v>Clínico Geral</v>
      </c>
      <c r="B56" s="494">
        <f>'UBS E NASF Malta Cardoso 1° SEM'!B14</f>
        <v>789</v>
      </c>
      <c r="C56" s="495">
        <f>'UBS E NASF Malta Cardoso 1° SEM'!C14</f>
        <v>207</v>
      </c>
      <c r="D56" s="496">
        <f>'UBS E NASF Malta Cardoso 1° SEM'!D14</f>
        <v>-0.73764258555133078</v>
      </c>
      <c r="E56" s="495">
        <f>'UBS E NASF Malta Cardoso 1° SEM'!E14</f>
        <v>584</v>
      </c>
      <c r="F56" s="496">
        <f>'UBS E NASF Malta Cardoso 1° SEM'!F14</f>
        <v>-0.25982256020278838</v>
      </c>
      <c r="G56" s="495">
        <f>'UBS E NASF Malta Cardoso 1° SEM'!G14</f>
        <v>636</v>
      </c>
      <c r="H56" s="496">
        <f>'UBS E NASF Malta Cardoso 1° SEM'!H14</f>
        <v>-0.19391634980988592</v>
      </c>
      <c r="I56" s="497">
        <f>'UBS E NASF Malta Cardoso 1° SEM'!I14</f>
        <v>1427</v>
      </c>
      <c r="J56" s="498">
        <f>'UBS E NASF Malta Cardoso 1° SEM'!J14</f>
        <v>-0.39712716518800173</v>
      </c>
      <c r="K56" s="495">
        <f>'UBS E NASF Malta Cardoso 1° SEM'!K14</f>
        <v>210</v>
      </c>
      <c r="L56" s="496">
        <f>'UBS E NASF Malta Cardoso 1° SEM'!L14</f>
        <v>-0.73384030418250945</v>
      </c>
      <c r="M56" s="495">
        <f>'UBS E NASF Malta Cardoso 1° SEM'!M14</f>
        <v>492</v>
      </c>
      <c r="N56" s="496">
        <f>'UBS E NASF Malta Cardoso 1° SEM'!N14</f>
        <v>-0.37642585551330798</v>
      </c>
      <c r="O56" s="495">
        <f>'UBS E NASF Malta Cardoso 1° SEM'!O14</f>
        <v>351</v>
      </c>
      <c r="P56" s="496">
        <f>'UBS E NASF Malta Cardoso 1° SEM'!P14</f>
        <v>-0.55513307984790883</v>
      </c>
      <c r="Q56" s="497">
        <f>'UBS E NASF Malta Cardoso 1° SEM'!Q14</f>
        <v>1053</v>
      </c>
      <c r="R56" s="498">
        <f>'UBS E NASF Malta Cardoso 1° SEM'!R14</f>
        <v>-0.55513307984790883</v>
      </c>
    </row>
    <row r="57" spans="1:18" x14ac:dyDescent="0.25">
      <c r="A57" s="509" t="str">
        <f>'UBS E NASF Malta Cardoso 1° SEM'!A15</f>
        <v>Tocoginecologia</v>
      </c>
      <c r="B57" s="494">
        <f>'UBS E NASF Malta Cardoso 1° SEM'!B15</f>
        <v>789</v>
      </c>
      <c r="C57" s="495">
        <f>'UBS E NASF Malta Cardoso 1° SEM'!C15</f>
        <v>28</v>
      </c>
      <c r="D57" s="496">
        <f>'UBS E NASF Malta Cardoso 1° SEM'!D15</f>
        <v>-0.96451204055766793</v>
      </c>
      <c r="E57" s="495">
        <f>'UBS E NASF Malta Cardoso 1° SEM'!E15</f>
        <v>167</v>
      </c>
      <c r="F57" s="496">
        <f>'UBS E NASF Malta Cardoso 1° SEM'!F15</f>
        <v>-0.78833967046894804</v>
      </c>
      <c r="G57" s="495">
        <f>'UBS E NASF Malta Cardoso 1° SEM'!G15</f>
        <v>203</v>
      </c>
      <c r="H57" s="496">
        <f>'UBS E NASF Malta Cardoso 1° SEM'!H15</f>
        <v>-0.74271229404309258</v>
      </c>
      <c r="I57" s="497">
        <f>'UBS E NASF Malta Cardoso 1° SEM'!I15</f>
        <v>398</v>
      </c>
      <c r="J57" s="498">
        <f>'UBS E NASF Malta Cardoso 1° SEM'!J15</f>
        <v>-0.83185466835656952</v>
      </c>
      <c r="K57" s="495">
        <f>'UBS E NASF Malta Cardoso 1° SEM'!K15</f>
        <v>95</v>
      </c>
      <c r="L57" s="496">
        <f>'UBS E NASF Malta Cardoso 1° SEM'!L15</f>
        <v>-0.87959442332065907</v>
      </c>
      <c r="M57" s="495">
        <f>'UBS E NASF Malta Cardoso 1° SEM'!M15</f>
        <v>260</v>
      </c>
      <c r="N57" s="496">
        <f>'UBS E NASF Malta Cardoso 1° SEM'!N15</f>
        <v>-0.67046894803548795</v>
      </c>
      <c r="O57" s="495">
        <f>'UBS E NASF Malta Cardoso 1° SEM'!O15</f>
        <v>266</v>
      </c>
      <c r="P57" s="496">
        <f>'UBS E NASF Malta Cardoso 1° SEM'!P15</f>
        <v>-0.6628643852978453</v>
      </c>
      <c r="Q57" s="497">
        <f>'UBS E NASF Malta Cardoso 1° SEM'!Q15</f>
        <v>621</v>
      </c>
      <c r="R57" s="498">
        <f>'UBS E NASF Malta Cardoso 1° SEM'!R15</f>
        <v>-0.73764258555133078</v>
      </c>
    </row>
    <row r="58" spans="1:18" ht="15.75" thickBot="1" x14ac:dyDescent="0.3">
      <c r="A58" s="548" t="str">
        <f>'UBS E NASF Malta Cardoso 1° SEM'!A16</f>
        <v>Pediatra</v>
      </c>
      <c r="B58" s="549">
        <f>'UBS E NASF Malta Cardoso 1° SEM'!B16</f>
        <v>789</v>
      </c>
      <c r="C58" s="550">
        <f>'UBS E NASF Malta Cardoso 1° SEM'!C16</f>
        <v>199</v>
      </c>
      <c r="D58" s="551">
        <f>'UBS E NASF Malta Cardoso 1° SEM'!D16</f>
        <v>-0.74778200253485427</v>
      </c>
      <c r="E58" s="550">
        <f>'UBS E NASF Malta Cardoso 1° SEM'!E16</f>
        <v>47</v>
      </c>
      <c r="F58" s="551">
        <f>'UBS E NASF Malta Cardoso 1° SEM'!F16</f>
        <v>-0.94043092522179972</v>
      </c>
      <c r="G58" s="550">
        <f>'UBS E NASF Malta Cardoso 1° SEM'!G16</f>
        <v>82</v>
      </c>
      <c r="H58" s="551">
        <f>'UBS E NASF Malta Cardoso 1° SEM'!H16</f>
        <v>-0.89607097591888463</v>
      </c>
      <c r="I58" s="552">
        <f>'UBS E NASF Malta Cardoso 1° SEM'!I16</f>
        <v>328</v>
      </c>
      <c r="J58" s="553">
        <f>'UBS E NASF Malta Cardoso 1° SEM'!J16</f>
        <v>-0.86142796789184617</v>
      </c>
      <c r="K58" s="550">
        <f>'UBS E NASF Malta Cardoso 1° SEM'!K16</f>
        <v>165</v>
      </c>
      <c r="L58" s="551">
        <f>'UBS E NASF Malta Cardoso 1° SEM'!L16</f>
        <v>-0.79087452471482889</v>
      </c>
      <c r="M58" s="550">
        <f>'UBS E NASF Malta Cardoso 1° SEM'!M16</f>
        <v>404</v>
      </c>
      <c r="N58" s="551">
        <f>'UBS E NASF Malta Cardoso 1° SEM'!N16</f>
        <v>-0.4879594423320659</v>
      </c>
      <c r="O58" s="550">
        <f>'UBS E NASF Malta Cardoso 1° SEM'!O16</f>
        <v>340</v>
      </c>
      <c r="P58" s="551">
        <f>'UBS E NASF Malta Cardoso 1° SEM'!P16</f>
        <v>-0.56907477820025343</v>
      </c>
      <c r="Q58" s="552">
        <f>'UBS E NASF Malta Cardoso 1° SEM'!Q16</f>
        <v>909</v>
      </c>
      <c r="R58" s="553">
        <f>'UBS E NASF Malta Cardoso 1° SEM'!R16</f>
        <v>-0.61596958174904937</v>
      </c>
    </row>
    <row r="59" spans="1:18" ht="15.75" thickBot="1" x14ac:dyDescent="0.3">
      <c r="A59" s="524" t="str">
        <f>'UBS E NASF Malta Cardoso 1° SEM'!A17</f>
        <v>SOMA</v>
      </c>
      <c r="B59" s="525">
        <f>'UBS E NASF Malta Cardoso 1° SEM'!B17</f>
        <v>9844</v>
      </c>
      <c r="C59" s="526">
        <f>'UBS E NASF Malta Cardoso 1° SEM'!C17</f>
        <v>5159</v>
      </c>
      <c r="D59" s="527">
        <f>'UBS E NASF Malta Cardoso 1° SEM'!D17</f>
        <v>-0.47592442096708654</v>
      </c>
      <c r="E59" s="526">
        <f>'UBS E NASF Malta Cardoso 1° SEM'!E17</f>
        <v>5022</v>
      </c>
      <c r="F59" s="527">
        <f>'UBS E NASF Malta Cardoso 1° SEM'!F17</f>
        <v>-0.48984152783421375</v>
      </c>
      <c r="G59" s="526">
        <f>'UBS E NASF Malta Cardoso 1° SEM'!G17</f>
        <v>6249</v>
      </c>
      <c r="H59" s="527">
        <f>'UBS E NASF Malta Cardoso 1° SEM'!H17</f>
        <v>-0.36519707436001625</v>
      </c>
      <c r="I59" s="529">
        <f>'UBS E NASF Malta Cardoso 1° SEM'!I17</f>
        <v>16430</v>
      </c>
      <c r="J59" s="530">
        <f>'UBS E NASF Malta Cardoso 1° SEM'!J17</f>
        <v>-0.44365434105377222</v>
      </c>
      <c r="K59" s="526">
        <f>'UBS E NASF Malta Cardoso 1° SEM'!K17</f>
        <v>6231</v>
      </c>
      <c r="L59" s="527">
        <f>'UBS E NASF Malta Cardoso 1° SEM'!L17</f>
        <v>-0.36702559934985779</v>
      </c>
      <c r="M59" s="526">
        <f>'UBS E NASF Malta Cardoso 1° SEM'!M17</f>
        <v>6952</v>
      </c>
      <c r="N59" s="527">
        <f>'UBS E NASF Malta Cardoso 1° SEM'!N17</f>
        <v>-0.29378301503453885</v>
      </c>
      <c r="O59" s="526">
        <f>'UBS E NASF Malta Cardoso 1° SEM'!O17</f>
        <v>5904</v>
      </c>
      <c r="P59" s="527">
        <f>'UBS E NASF Malta Cardoso 1° SEM'!P17</f>
        <v>-0.40024380333197884</v>
      </c>
      <c r="Q59" s="529">
        <f>'UBS E NASF Malta Cardoso 1° SEM'!Q17</f>
        <v>19087</v>
      </c>
      <c r="R59" s="554">
        <f>'UBS E NASF Malta Cardoso 1° SEM'!R17</f>
        <v>-0.35368413923879183</v>
      </c>
    </row>
    <row r="61" spans="1:18" ht="15.75" x14ac:dyDescent="0.25">
      <c r="A61" s="827" t="s">
        <v>350</v>
      </c>
      <c r="B61" s="828"/>
      <c r="C61" s="828"/>
      <c r="D61" s="828"/>
      <c r="E61" s="828"/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  <c r="Q61" s="828"/>
      <c r="R61" s="828"/>
    </row>
    <row r="62" spans="1:18" ht="24.75" thickBot="1" x14ac:dyDescent="0.3">
      <c r="A62" s="555" t="s">
        <v>8</v>
      </c>
      <c r="B62" s="556" t="s">
        <v>9</v>
      </c>
      <c r="C62" s="557" t="str">
        <f t="shared" ref="C62:R62" si="2">C32</f>
        <v>JAN</v>
      </c>
      <c r="D62" s="558" t="str">
        <f t="shared" si="2"/>
        <v>%</v>
      </c>
      <c r="E62" s="557" t="str">
        <f t="shared" si="2"/>
        <v>FEV</v>
      </c>
      <c r="F62" s="558" t="str">
        <f t="shared" si="2"/>
        <v>%</v>
      </c>
      <c r="G62" s="557" t="str">
        <f t="shared" si="2"/>
        <v>MAR</v>
      </c>
      <c r="H62" s="558" t="str">
        <f t="shared" si="2"/>
        <v>%</v>
      </c>
      <c r="I62" s="559" t="str">
        <f t="shared" si="2"/>
        <v>Trimestre</v>
      </c>
      <c r="J62" s="559" t="str">
        <f t="shared" si="2"/>
        <v>%</v>
      </c>
      <c r="K62" s="557" t="str">
        <f t="shared" si="2"/>
        <v>ABR</v>
      </c>
      <c r="L62" s="558" t="str">
        <f t="shared" si="2"/>
        <v>%</v>
      </c>
      <c r="M62" s="557" t="str">
        <f t="shared" si="2"/>
        <v>MAI</v>
      </c>
      <c r="N62" s="558" t="str">
        <f t="shared" si="2"/>
        <v>%</v>
      </c>
      <c r="O62" s="557" t="str">
        <f t="shared" si="2"/>
        <v>JUN</v>
      </c>
      <c r="P62" s="558" t="str">
        <f t="shared" si="2"/>
        <v>%</v>
      </c>
      <c r="Q62" s="559" t="str">
        <f t="shared" si="2"/>
        <v>Trimestre</v>
      </c>
      <c r="R62" s="559" t="str">
        <f t="shared" si="2"/>
        <v>%</v>
      </c>
    </row>
    <row r="63" spans="1:18" ht="15.75" thickTop="1" x14ac:dyDescent="0.25">
      <c r="A63" s="560" t="str">
        <f>'UBS Real Parque 1° SEM'!A7</f>
        <v>ACS</v>
      </c>
      <c r="B63" s="500">
        <f>'UBS Real Parque 1° SEM'!B7</f>
        <v>1200</v>
      </c>
      <c r="C63" s="495">
        <f>'UBS Real Parque 1° SEM'!C7</f>
        <v>1100</v>
      </c>
      <c r="D63" s="496">
        <f>'UBS Real Parque 1° SEM'!D7</f>
        <v>-8.333333333333337E-2</v>
      </c>
      <c r="E63" s="495">
        <f>'UBS Real Parque 1° SEM'!E7</f>
        <v>1268</v>
      </c>
      <c r="F63" s="496">
        <f>'UBS Real Parque 1° SEM'!F7</f>
        <v>5.6666666666666643E-2</v>
      </c>
      <c r="G63" s="495">
        <f>'UBS Real Parque 1° SEM'!G7</f>
        <v>1570</v>
      </c>
      <c r="H63" s="496">
        <f>'UBS Real Parque 1° SEM'!H7</f>
        <v>0.30833333333333335</v>
      </c>
      <c r="I63" s="497">
        <f>'UBS Real Parque 1° SEM'!I7</f>
        <v>3938</v>
      </c>
      <c r="J63" s="498">
        <f>'UBS Real Parque 1° SEM'!J7</f>
        <v>9.3888888888888911E-2</v>
      </c>
      <c r="K63" s="495">
        <f>'UBS Real Parque 1° SEM'!K7</f>
        <v>1140</v>
      </c>
      <c r="L63" s="496">
        <f>'UBS Real Parque 1° SEM'!L7</f>
        <v>-5.0000000000000044E-2</v>
      </c>
      <c r="M63" s="495">
        <f>'UBS Real Parque 1° SEM'!M7</f>
        <v>1533</v>
      </c>
      <c r="N63" s="496">
        <f>'UBS Real Parque 1° SEM'!N7</f>
        <v>0.27750000000000008</v>
      </c>
      <c r="O63" s="495">
        <f>'UBS Real Parque 1° SEM'!O7</f>
        <v>1149</v>
      </c>
      <c r="P63" s="496">
        <f>'UBS Real Parque 1° SEM'!P7</f>
        <v>-4.2499999999999982E-2</v>
      </c>
      <c r="Q63" s="497">
        <f>'UBS Real Parque 1° SEM'!Q7</f>
        <v>3822</v>
      </c>
      <c r="R63" s="498">
        <f>'UBS Real Parque 1° SEM'!R7</f>
        <v>6.1666666666666758E-2</v>
      </c>
    </row>
    <row r="64" spans="1:18" x14ac:dyDescent="0.25">
      <c r="A64" s="560" t="str">
        <f>'UBS Real Parque 1° SEM'!A8</f>
        <v>Médico Generalista</v>
      </c>
      <c r="B64" s="500">
        <f>'UBS Real Parque 1° SEM'!B8</f>
        <v>416</v>
      </c>
      <c r="C64" s="495">
        <f>'UBS Real Parque 1° SEM'!C8</f>
        <v>292</v>
      </c>
      <c r="D64" s="496">
        <f>'UBS Real Parque 1° SEM'!D8</f>
        <v>-0.29807692307692313</v>
      </c>
      <c r="E64" s="495">
        <f>'UBS Real Parque 1° SEM'!E8</f>
        <v>289</v>
      </c>
      <c r="F64" s="496">
        <f>'UBS Real Parque 1° SEM'!F8</f>
        <v>-0.30528846153846156</v>
      </c>
      <c r="G64" s="495">
        <f>'UBS Real Parque 1° SEM'!G8</f>
        <v>0</v>
      </c>
      <c r="H64" s="496">
        <f>'UBS Real Parque 1° SEM'!H8</f>
        <v>-1</v>
      </c>
      <c r="I64" s="497">
        <f>'UBS Real Parque 1° SEM'!I8</f>
        <v>581</v>
      </c>
      <c r="J64" s="498">
        <f>'UBS Real Parque 1° SEM'!J8</f>
        <v>-0.53445512820512819</v>
      </c>
      <c r="K64" s="495">
        <f>'UBS Real Parque 1° SEM'!K8</f>
        <v>154</v>
      </c>
      <c r="L64" s="496">
        <f>'UBS Real Parque 1° SEM'!L8</f>
        <v>-0.62980769230769229</v>
      </c>
      <c r="M64" s="495">
        <f>'UBS Real Parque 1° SEM'!M8</f>
        <v>234</v>
      </c>
      <c r="N64" s="496">
        <f>'UBS Real Parque 1° SEM'!N8</f>
        <v>-0.4375</v>
      </c>
      <c r="O64" s="495">
        <f>'UBS Real Parque 1° SEM'!O8</f>
        <v>184</v>
      </c>
      <c r="P64" s="496">
        <f>'UBS Real Parque 1° SEM'!P8</f>
        <v>-0.55769230769230771</v>
      </c>
      <c r="Q64" s="497">
        <f>'UBS Real Parque 1° SEM'!Q8</f>
        <v>572</v>
      </c>
      <c r="R64" s="498">
        <f>'UBS Real Parque 1° SEM'!R8</f>
        <v>-0.54166666666666674</v>
      </c>
    </row>
    <row r="65" spans="1:18" x14ac:dyDescent="0.25">
      <c r="A65" s="706" t="str">
        <f>'UBS Real Parque 1° SEM'!A9</f>
        <v>Enfermeiro - ESF</v>
      </c>
      <c r="B65" s="500">
        <f>'UBS Real Parque 1° SEM'!B9</f>
        <v>156</v>
      </c>
      <c r="C65" s="495">
        <f>'UBS Real Parque 1° SEM'!C9</f>
        <v>260</v>
      </c>
      <c r="D65" s="496">
        <f>'UBS Real Parque 1° SEM'!D9</f>
        <v>0.66666666666666674</v>
      </c>
      <c r="E65" s="495">
        <f>'UBS Real Parque 1° SEM'!E9</f>
        <v>0</v>
      </c>
      <c r="F65" s="496">
        <f>'UBS Real Parque 1° SEM'!F9</f>
        <v>-1</v>
      </c>
      <c r="G65" s="495">
        <f>'UBS Real Parque 1° SEM'!G9</f>
        <v>239</v>
      </c>
      <c r="H65" s="496">
        <f>'UBS Real Parque 1° SEM'!H9</f>
        <v>0.53205128205128216</v>
      </c>
      <c r="I65" s="497">
        <f>'UBS Real Parque 1° SEM'!I9</f>
        <v>499</v>
      </c>
      <c r="J65" s="498">
        <f>'UBS Real Parque 1° SEM'!J9</f>
        <v>6.6239316239316226E-2</v>
      </c>
      <c r="K65" s="495">
        <f>'UBS Real Parque 1° SEM'!K9</f>
        <v>161</v>
      </c>
      <c r="L65" s="496">
        <f>'UBS Real Parque 1° SEM'!L9</f>
        <v>3.2051282051282159E-2</v>
      </c>
      <c r="M65" s="495">
        <f>'UBS Real Parque 1° SEM'!M9</f>
        <v>193</v>
      </c>
      <c r="N65" s="496">
        <f>'UBS Real Parque 1° SEM'!N9</f>
        <v>0.23717948717948723</v>
      </c>
      <c r="O65" s="495">
        <f>'UBS Real Parque 1° SEM'!O9</f>
        <v>184</v>
      </c>
      <c r="P65" s="496">
        <f>'UBS Real Parque 1° SEM'!P9</f>
        <v>0.17948717948717952</v>
      </c>
      <c r="Q65" s="497">
        <f>'UBS Real Parque 1° SEM'!Q9</f>
        <v>538</v>
      </c>
      <c r="R65" s="498">
        <f>'UBS Real Parque 1° SEM'!R9</f>
        <v>0.14957264957264949</v>
      </c>
    </row>
    <row r="66" spans="1:18" x14ac:dyDescent="0.25">
      <c r="A66" s="509" t="str">
        <f>'UBS Real Parque 1° SEM'!A10</f>
        <v>Agente indígena de Saúde</v>
      </c>
      <c r="B66" s="561">
        <f>'UBS Real Parque 1° SEM'!B10</f>
        <v>260</v>
      </c>
      <c r="C66" s="562">
        <f>'UBS Real Parque 1° SEM'!C10</f>
        <v>222</v>
      </c>
      <c r="D66" s="496">
        <f>'UBS Real Parque 1° SEM'!D10</f>
        <v>-0.14615384615384619</v>
      </c>
      <c r="E66" s="562">
        <f>'UBS Real Parque 1° SEM'!E10</f>
        <v>296</v>
      </c>
      <c r="F66" s="496">
        <f>'UBS Real Parque 1° SEM'!F10</f>
        <v>0.13846153846153841</v>
      </c>
      <c r="G66" s="562">
        <f>'UBS Real Parque 1° SEM'!G10</f>
        <v>302</v>
      </c>
      <c r="H66" s="551">
        <f>'UBS Real Parque 1° SEM'!H10</f>
        <v>0.16153846153846163</v>
      </c>
      <c r="I66" s="552">
        <f>'UBS Real Parque 1° SEM'!I10</f>
        <v>820</v>
      </c>
      <c r="J66" s="553">
        <f>'UBS Real Parque 1° SEM'!J10</f>
        <v>5.1282051282051322E-2</v>
      </c>
      <c r="K66" s="562">
        <f>'UBS Real Parque 1° SEM'!K10</f>
        <v>205</v>
      </c>
      <c r="L66" s="551">
        <f>'UBS Real Parque 1° SEM'!L10</f>
        <v>-0.21153846153846156</v>
      </c>
      <c r="M66" s="562">
        <f>'UBS Real Parque 1° SEM'!M10</f>
        <v>234</v>
      </c>
      <c r="N66" s="551">
        <f>'UBS Real Parque 1° SEM'!N10</f>
        <v>-9.9999999999999978E-2</v>
      </c>
      <c r="O66" s="562">
        <f>'UBS Real Parque 1° SEM'!O10</f>
        <v>215</v>
      </c>
      <c r="P66" s="551">
        <f>'UBS Real Parque 1° SEM'!P10</f>
        <v>-0.17307692307692313</v>
      </c>
      <c r="Q66" s="552">
        <f>'UBS Real Parque 1° SEM'!Q10</f>
        <v>654</v>
      </c>
      <c r="R66" s="553">
        <f>'UBS Real Parque 1° SEM'!R10</f>
        <v>-0.16153846153846152</v>
      </c>
    </row>
    <row r="67" spans="1:18" x14ac:dyDescent="0.25">
      <c r="A67" s="509" t="str">
        <f>'UBS Real Parque 1° SEM'!A11</f>
        <v>Enfemeiro Saúde Indígena</v>
      </c>
      <c r="B67" s="561">
        <f>'UBS Real Parque 1° SEM'!B11</f>
        <v>104</v>
      </c>
      <c r="C67" s="562">
        <f>'UBS Real Parque 1° SEM'!C11</f>
        <v>142</v>
      </c>
      <c r="D67" s="496">
        <f>'UBS Real Parque 1° SEM'!D11</f>
        <v>0.36538461538461542</v>
      </c>
      <c r="E67" s="562">
        <f>'UBS Real Parque 1° SEM'!E11</f>
        <v>157</v>
      </c>
      <c r="F67" s="496">
        <f>'UBS Real Parque 1° SEM'!F11</f>
        <v>0.50961538461538458</v>
      </c>
      <c r="G67" s="562">
        <f>'UBS Real Parque 1° SEM'!G11</f>
        <v>72</v>
      </c>
      <c r="H67" s="551">
        <f>'UBS Real Parque 1° SEM'!H11</f>
        <v>-0.30769230769230771</v>
      </c>
      <c r="I67" s="552">
        <f>'UBS Real Parque 1° SEM'!I11</f>
        <v>371</v>
      </c>
      <c r="J67" s="553">
        <f>'UBS Real Parque 1° SEM'!J11</f>
        <v>0.1891025641025641</v>
      </c>
      <c r="K67" s="562">
        <f>'UBS Real Parque 1° SEM'!K11</f>
        <v>97</v>
      </c>
      <c r="L67" s="551">
        <f>'UBS Real Parque 1° SEM'!L11</f>
        <v>-6.7307692307692291E-2</v>
      </c>
      <c r="M67" s="562">
        <f>'UBS Real Parque 1° SEM'!M11</f>
        <v>128</v>
      </c>
      <c r="N67" s="551">
        <f>'UBS Real Parque 1° SEM'!N11</f>
        <v>0.23076923076923084</v>
      </c>
      <c r="O67" s="562">
        <f>'UBS Real Parque 1° SEM'!O11</f>
        <v>115</v>
      </c>
      <c r="P67" s="551">
        <f>'UBS Real Parque 1° SEM'!P11</f>
        <v>0.10576923076923084</v>
      </c>
      <c r="Q67" s="552">
        <f>'UBS Real Parque 1° SEM'!Q11</f>
        <v>340</v>
      </c>
      <c r="R67" s="553">
        <f>'UBS Real Parque 1° SEM'!R11</f>
        <v>8.9743589743589647E-2</v>
      </c>
    </row>
    <row r="68" spans="1:18" ht="24" x14ac:dyDescent="0.25">
      <c r="A68" s="493" t="str">
        <f>'UBS Real Parque 1° SEM'!A12</f>
        <v>Médico Generalista - Saúde Indígena</v>
      </c>
      <c r="B68" s="500">
        <f>'UBS Real Parque 1° SEM'!B12</f>
        <v>333</v>
      </c>
      <c r="C68" s="495">
        <f>'UBS Real Parque 1° SEM'!C12</f>
        <v>290</v>
      </c>
      <c r="D68" s="496">
        <f>'UBS Real Parque 1° SEM'!D12</f>
        <v>-0.12912912912912911</v>
      </c>
      <c r="E68" s="495">
        <f>'UBS Real Parque 1° SEM'!E12</f>
        <v>0</v>
      </c>
      <c r="F68" s="496">
        <f>'UBS Real Parque 1° SEM'!F12</f>
        <v>-1</v>
      </c>
      <c r="G68" s="495">
        <f>'UBS Real Parque 1° SEM'!G12</f>
        <v>144</v>
      </c>
      <c r="H68" s="496">
        <f>'UBS Real Parque 1° SEM'!H12</f>
        <v>-0.56756756756756754</v>
      </c>
      <c r="I68" s="552">
        <f>'UBS Real Parque 1° SEM'!I12</f>
        <v>434</v>
      </c>
      <c r="J68" s="553">
        <f>'UBS Real Parque 1° SEM'!J12</f>
        <v>-0.56556556556556559</v>
      </c>
      <c r="K68" s="495">
        <f>'UBS Real Parque 1° SEM'!K12</f>
        <v>117</v>
      </c>
      <c r="L68" s="496">
        <f>'UBS Real Parque 1° SEM'!L12</f>
        <v>-0.64864864864864868</v>
      </c>
      <c r="M68" s="495">
        <f>'UBS Real Parque 1° SEM'!M12</f>
        <v>177</v>
      </c>
      <c r="N68" s="496">
        <f>'UBS Real Parque 1° SEM'!N12</f>
        <v>-0.46846846846846846</v>
      </c>
      <c r="O68" s="495">
        <f>'UBS Real Parque 1° SEM'!O12</f>
        <v>142</v>
      </c>
      <c r="P68" s="496">
        <f>'UBS Real Parque 1° SEM'!P12</f>
        <v>-0.57357357357357364</v>
      </c>
      <c r="Q68" s="552">
        <f>'UBS Real Parque 1° SEM'!Q12</f>
        <v>436</v>
      </c>
      <c r="R68" s="553">
        <f>'UBS Real Parque 1° SEM'!R12</f>
        <v>-0.56356356356356363</v>
      </c>
    </row>
    <row r="69" spans="1:18" ht="24" x14ac:dyDescent="0.25">
      <c r="A69" s="493" t="str">
        <f>'UBS Real Parque 1° SEM'!A13</f>
        <v>Cirurgião Dentista (atendimento individual)</v>
      </c>
      <c r="B69" s="500">
        <f>'UBS Real Parque 1° SEM'!B13</f>
        <v>288</v>
      </c>
      <c r="C69" s="495">
        <f>'UBS Real Parque 1° SEM'!C13</f>
        <v>201</v>
      </c>
      <c r="D69" s="496">
        <f>'UBS Real Parque 1° SEM'!D13</f>
        <v>-0.30208333333333337</v>
      </c>
      <c r="E69" s="495">
        <f>'UBS Real Parque 1° SEM'!E13</f>
        <v>207</v>
      </c>
      <c r="F69" s="496">
        <f>'UBS Real Parque 1° SEM'!F13</f>
        <v>-0.28125</v>
      </c>
      <c r="G69" s="495">
        <f>'UBS Real Parque 1° SEM'!G13</f>
        <v>192</v>
      </c>
      <c r="H69" s="496">
        <f>'UBS Real Parque 1° SEM'!H13</f>
        <v>-0.33333333333333337</v>
      </c>
      <c r="I69" s="552">
        <f>'UBS Real Parque 1° SEM'!I13</f>
        <v>600</v>
      </c>
      <c r="J69" s="553">
        <f>'UBS Real Parque 1° SEM'!J13</f>
        <v>-0.30555555555555558</v>
      </c>
      <c r="K69" s="495">
        <f>'UBS Real Parque 1° SEM'!K13</f>
        <v>211</v>
      </c>
      <c r="L69" s="496">
        <f>'UBS Real Parque 1° SEM'!L13</f>
        <v>-0.26736111111111116</v>
      </c>
      <c r="M69" s="495">
        <f>'UBS Real Parque 1° SEM'!M13</f>
        <v>290</v>
      </c>
      <c r="N69" s="496">
        <f>'UBS Real Parque 1° SEM'!N13</f>
        <v>6.9444444444444198E-3</v>
      </c>
      <c r="O69" s="495">
        <f>'UBS Real Parque 1° SEM'!O13</f>
        <v>258</v>
      </c>
      <c r="P69" s="496">
        <f>'UBS Real Parque 1° SEM'!P13</f>
        <v>-0.10416666666666663</v>
      </c>
      <c r="Q69" s="552">
        <f>'UBS Real Parque 1° SEM'!Q13</f>
        <v>759</v>
      </c>
      <c r="R69" s="553">
        <f>'UBS Real Parque 1° SEM'!R13</f>
        <v>-0.12152777777777779</v>
      </c>
    </row>
    <row r="70" spans="1:18" ht="24" x14ac:dyDescent="0.25">
      <c r="A70" s="493" t="str">
        <f>'UBS Real Parque 1° SEM'!A14</f>
        <v>Cirurgião dentista (procedimento)</v>
      </c>
      <c r="B70" s="500">
        <f>'UBS Real Parque 1° SEM'!B14</f>
        <v>1008</v>
      </c>
      <c r="C70" s="495">
        <f>'UBS Real Parque 1° SEM'!C14</f>
        <v>188</v>
      </c>
      <c r="D70" s="496">
        <f>'UBS Real Parque 1° SEM'!D14</f>
        <v>-0.81349206349206349</v>
      </c>
      <c r="E70" s="495">
        <f>'UBS Real Parque 1° SEM'!E14</f>
        <v>300</v>
      </c>
      <c r="F70" s="496">
        <f>'UBS Real Parque 1° SEM'!F14</f>
        <v>-0.70238095238095233</v>
      </c>
      <c r="G70" s="495">
        <f>'UBS Real Parque 1° SEM'!G14</f>
        <v>407</v>
      </c>
      <c r="H70" s="496">
        <f>'UBS Real Parque 1° SEM'!H14</f>
        <v>-0.59623015873015872</v>
      </c>
      <c r="I70" s="552">
        <f>'UBS Real Parque 1° SEM'!I14</f>
        <v>895</v>
      </c>
      <c r="J70" s="553">
        <f>'UBS Real Parque 1° SEM'!J14</f>
        <v>-0.70403439153439151</v>
      </c>
      <c r="K70" s="495">
        <f>'UBS Real Parque 1° SEM'!K14</f>
        <v>386</v>
      </c>
      <c r="L70" s="496">
        <f>'UBS Real Parque 1° SEM'!L14</f>
        <v>-0.61706349206349209</v>
      </c>
      <c r="M70" s="495">
        <f>'UBS Real Parque 1° SEM'!M14</f>
        <v>526</v>
      </c>
      <c r="N70" s="496">
        <f>'UBS Real Parque 1° SEM'!N14</f>
        <v>-0.47817460317460314</v>
      </c>
      <c r="O70" s="495">
        <f>'UBS Real Parque 1° SEM'!O14</f>
        <v>576</v>
      </c>
      <c r="P70" s="496">
        <f>'UBS Real Parque 1° SEM'!P14</f>
        <v>-0.4285714285714286</v>
      </c>
      <c r="Q70" s="552">
        <f>'UBS Real Parque 1° SEM'!Q14</f>
        <v>1488</v>
      </c>
      <c r="R70" s="553">
        <f>'UBS Real Parque 1° SEM'!R14</f>
        <v>-0.50793650793650791</v>
      </c>
    </row>
    <row r="71" spans="1:18" x14ac:dyDescent="0.25">
      <c r="A71" s="509" t="str">
        <f>'UBS Real Parque 1° SEM'!A15</f>
        <v>Clínico Geral</v>
      </c>
      <c r="B71" s="500">
        <f>'UBS Real Parque 1° SEM'!B15</f>
        <v>526</v>
      </c>
      <c r="C71" s="495">
        <f>'UBS Real Parque 1° SEM'!C15</f>
        <v>228</v>
      </c>
      <c r="D71" s="496">
        <f>'UBS Real Parque 1° SEM'!D15</f>
        <v>-0.56653992395437269</v>
      </c>
      <c r="E71" s="495">
        <f>'UBS Real Parque 1° SEM'!E15</f>
        <v>368</v>
      </c>
      <c r="F71" s="496">
        <f>'UBS Real Parque 1° SEM'!F15</f>
        <v>-0.30038022813688214</v>
      </c>
      <c r="G71" s="495">
        <f>'UBS Real Parque 1° SEM'!G15</f>
        <v>0</v>
      </c>
      <c r="H71" s="496">
        <f>'UBS Real Parque 1° SEM'!H15</f>
        <v>-1</v>
      </c>
      <c r="I71" s="552">
        <f>'UBS Real Parque 1° SEM'!I15</f>
        <v>596</v>
      </c>
      <c r="J71" s="553">
        <f>'UBS Real Parque 1° SEM'!J15</f>
        <v>-0.62230671736375154</v>
      </c>
      <c r="K71" s="495">
        <f>'UBS Real Parque 1° SEM'!K15</f>
        <v>0</v>
      </c>
      <c r="L71" s="496">
        <f>'UBS Real Parque 1° SEM'!L15</f>
        <v>-1</v>
      </c>
      <c r="M71" s="495">
        <f>'UBS Real Parque 1° SEM'!M15</f>
        <v>175</v>
      </c>
      <c r="N71" s="496">
        <f>'UBS Real Parque 1° SEM'!N15</f>
        <v>-0.66730038022813687</v>
      </c>
      <c r="O71" s="495">
        <f>'UBS Real Parque 1° SEM'!O15</f>
        <v>110</v>
      </c>
      <c r="P71" s="496">
        <f>'UBS Real Parque 1° SEM'!P15</f>
        <v>-0.79087452471482889</v>
      </c>
      <c r="Q71" s="552">
        <f>'UBS Real Parque 1° SEM'!Q15</f>
        <v>285</v>
      </c>
      <c r="R71" s="553">
        <f>'UBS Real Parque 1° SEM'!R15</f>
        <v>-0.81939163498098866</v>
      </c>
    </row>
    <row r="72" spans="1:18" x14ac:dyDescent="0.25">
      <c r="A72" s="509" t="str">
        <f>'UBS Real Parque 1° SEM'!A16</f>
        <v>Tocoginecologista</v>
      </c>
      <c r="B72" s="500">
        <f>'UBS Real Parque 1° SEM'!B16</f>
        <v>526</v>
      </c>
      <c r="C72" s="495">
        <f>'UBS Real Parque 1° SEM'!C16</f>
        <v>0</v>
      </c>
      <c r="D72" s="496">
        <f>'UBS Real Parque 1° SEM'!D16</f>
        <v>-1</v>
      </c>
      <c r="E72" s="495">
        <f>'UBS Real Parque 1° SEM'!E16</f>
        <v>230</v>
      </c>
      <c r="F72" s="496">
        <f>'UBS Real Parque 1° SEM'!F16</f>
        <v>-0.56273764258555126</v>
      </c>
      <c r="G72" s="495">
        <f>'UBS Real Parque 1° SEM'!G16</f>
        <v>299</v>
      </c>
      <c r="H72" s="496">
        <f>'UBS Real Parque 1° SEM'!H16</f>
        <v>-0.4315589353612167</v>
      </c>
      <c r="I72" s="552">
        <f>'UBS Real Parque 1° SEM'!I16</f>
        <v>529</v>
      </c>
      <c r="J72" s="553">
        <f>'UBS Real Parque 1° SEM'!J16</f>
        <v>-0.66476552598225602</v>
      </c>
      <c r="K72" s="495">
        <f>'UBS Real Parque 1° SEM'!K16</f>
        <v>213</v>
      </c>
      <c r="L72" s="496">
        <f>'UBS Real Parque 1° SEM'!L16</f>
        <v>-0.59505703422053235</v>
      </c>
      <c r="M72" s="495">
        <f>'UBS Real Parque 1° SEM'!M16</f>
        <v>313</v>
      </c>
      <c r="N72" s="496">
        <f>'UBS Real Parque 1° SEM'!N16</f>
        <v>-0.40494296577946765</v>
      </c>
      <c r="O72" s="495">
        <f>'UBS Real Parque 1° SEM'!O16</f>
        <v>221</v>
      </c>
      <c r="P72" s="496">
        <f>'UBS Real Parque 1° SEM'!P16</f>
        <v>-0.57984790874524716</v>
      </c>
      <c r="Q72" s="552">
        <f>'UBS Real Parque 1° SEM'!Q16</f>
        <v>747</v>
      </c>
      <c r="R72" s="553">
        <f>'UBS Real Parque 1° SEM'!R16</f>
        <v>-0.52661596958174905</v>
      </c>
    </row>
    <row r="73" spans="1:18" x14ac:dyDescent="0.25">
      <c r="A73" s="509" t="str">
        <f>'UBS Real Parque 1° SEM'!A17</f>
        <v>Pediatra</v>
      </c>
      <c r="B73" s="500">
        <f>'UBS Real Parque 1° SEM'!B17</f>
        <v>789</v>
      </c>
      <c r="C73" s="495">
        <f>'UBS Real Parque 1° SEM'!C17</f>
        <v>555</v>
      </c>
      <c r="D73" s="496">
        <f>'UBS Real Parque 1° SEM'!D17</f>
        <v>-0.29657794676806082</v>
      </c>
      <c r="E73" s="495">
        <f>'UBS Real Parque 1° SEM'!E17</f>
        <v>493</v>
      </c>
      <c r="F73" s="496">
        <f>'UBS Real Parque 1° SEM'!F17</f>
        <v>-0.3751584283903675</v>
      </c>
      <c r="G73" s="495">
        <f>'UBS Real Parque 1° SEM'!G17</f>
        <v>659</v>
      </c>
      <c r="H73" s="496">
        <f>'UBS Real Parque 1° SEM'!H17</f>
        <v>-0.16476552598225602</v>
      </c>
      <c r="I73" s="552">
        <f>'UBS Real Parque 1° SEM'!I17</f>
        <v>1707</v>
      </c>
      <c r="J73" s="553">
        <f>'UBS Real Parque 1° SEM'!J17</f>
        <v>-0.27883396704689478</v>
      </c>
      <c r="K73" s="495">
        <f>'UBS Real Parque 1° SEM'!K17</f>
        <v>474</v>
      </c>
      <c r="L73" s="496">
        <f>'UBS Real Parque 1° SEM'!L17</f>
        <v>-0.39923954372623571</v>
      </c>
      <c r="M73" s="495">
        <f>'UBS Real Parque 1° SEM'!M17</f>
        <v>564</v>
      </c>
      <c r="N73" s="496">
        <f>'UBS Real Parque 1° SEM'!N17</f>
        <v>-0.28517110266159695</v>
      </c>
      <c r="O73" s="495">
        <f>'UBS Real Parque 1° SEM'!O17</f>
        <v>544</v>
      </c>
      <c r="P73" s="496">
        <f>'UBS Real Parque 1° SEM'!P17</f>
        <v>-0.31051964512040553</v>
      </c>
      <c r="Q73" s="552">
        <f>'UBS Real Parque 1° SEM'!Q17</f>
        <v>1582</v>
      </c>
      <c r="R73" s="553">
        <f>'UBS Real Parque 1° SEM'!R17</f>
        <v>-0.33164343050274614</v>
      </c>
    </row>
    <row r="74" spans="1:18" ht="15.75" thickBot="1" x14ac:dyDescent="0.3">
      <c r="A74" s="564" t="str">
        <f>'UBS Real Parque 1° SEM'!A18</f>
        <v>Psiquiatra</v>
      </c>
      <c r="B74" s="561">
        <f>'UBS Real Parque 1° SEM'!B18</f>
        <v>166</v>
      </c>
      <c r="C74" s="562">
        <f>'UBS Real Parque 1° SEM'!C18</f>
        <v>38</v>
      </c>
      <c r="D74" s="551">
        <f>'UBS Real Parque 1° SEM'!D18</f>
        <v>-0.77108433734939763</v>
      </c>
      <c r="E74" s="562">
        <f>'UBS Real Parque 1° SEM'!E18</f>
        <v>0</v>
      </c>
      <c r="F74" s="551">
        <f>'UBS Real Parque 1° SEM'!F18</f>
        <v>-1</v>
      </c>
      <c r="G74" s="562">
        <f>'UBS Real Parque 1° SEM'!G18</f>
        <v>94</v>
      </c>
      <c r="H74" s="565">
        <f>'UBS Real Parque 1° SEM'!H18</f>
        <v>-0.4337349397590361</v>
      </c>
      <c r="I74" s="552">
        <f>'UBS Real Parque 1° SEM'!I18</f>
        <v>132</v>
      </c>
      <c r="J74" s="566">
        <f>'UBS Real Parque 1° SEM'!J18</f>
        <v>-0.73493975903614461</v>
      </c>
      <c r="K74" s="562">
        <f>'UBS Real Parque 1° SEM'!K18</f>
        <v>93</v>
      </c>
      <c r="L74" s="551">
        <f>'UBS Real Parque 1° SEM'!L18</f>
        <v>-0.43975903614457834</v>
      </c>
      <c r="M74" s="562">
        <f>'UBS Real Parque 1° SEM'!M18</f>
        <v>145</v>
      </c>
      <c r="N74" s="551">
        <f>'UBS Real Parque 1° SEM'!N18</f>
        <v>-0.12650602409638556</v>
      </c>
      <c r="O74" s="562">
        <f>'UBS Real Parque 1° SEM'!O18</f>
        <v>121</v>
      </c>
      <c r="P74" s="565">
        <f>'UBS Real Parque 1° SEM'!P18</f>
        <v>-0.27108433734939763</v>
      </c>
      <c r="Q74" s="552">
        <f>'UBS Real Parque 1° SEM'!Q18</f>
        <v>359</v>
      </c>
      <c r="R74" s="566">
        <f>'UBS Real Parque 1° SEM'!R18</f>
        <v>-0.27911646586345384</v>
      </c>
    </row>
    <row r="75" spans="1:18" ht="15.75" thickBot="1" x14ac:dyDescent="0.3">
      <c r="A75" s="524" t="str">
        <f>'UBS Real Parque 1° SEM'!A19</f>
        <v>SOMA</v>
      </c>
      <c r="B75" s="567">
        <f>'UBS Real Parque 1° SEM'!B19</f>
        <v>5772</v>
      </c>
      <c r="C75" s="526">
        <f>'UBS Real Parque 1° SEM'!C19</f>
        <v>3516</v>
      </c>
      <c r="D75" s="527">
        <f>'UBS Real Parque 1° SEM'!D19</f>
        <v>-0.39085239085239087</v>
      </c>
      <c r="E75" s="526">
        <f>'UBS Real Parque 1° SEM'!E19</f>
        <v>3608</v>
      </c>
      <c r="F75" s="527">
        <f>'UBS Real Parque 1° SEM'!F19</f>
        <v>-0.37491337491337495</v>
      </c>
      <c r="G75" s="526">
        <f>'UBS Real Parque 1° SEM'!G19</f>
        <v>3978</v>
      </c>
      <c r="H75" s="568">
        <f>'UBS Real Parque 1° SEM'!H19</f>
        <v>-0.31081081081081086</v>
      </c>
      <c r="I75" s="569">
        <f>'UBS Real Parque 1° SEM'!I19</f>
        <v>11102</v>
      </c>
      <c r="J75" s="570">
        <f>'UBS Real Parque 1° SEM'!J19</f>
        <v>-0.35885885885885882</v>
      </c>
      <c r="K75" s="526">
        <f>'UBS Real Parque 1° SEM'!K19</f>
        <v>3251</v>
      </c>
      <c r="L75" s="527">
        <f>'UBS Real Parque 1° SEM'!L19</f>
        <v>-0.43676368676368671</v>
      </c>
      <c r="M75" s="526">
        <f>'UBS Real Parque 1° SEM'!M19</f>
        <v>4512</v>
      </c>
      <c r="N75" s="527">
        <f>'UBS Real Parque 1° SEM'!N19</f>
        <v>-0.21829521829521825</v>
      </c>
      <c r="O75" s="526">
        <f>'UBS Real Parque 1° SEM'!O19</f>
        <v>3819</v>
      </c>
      <c r="P75" s="568">
        <f>'UBS Real Parque 1° SEM'!P19</f>
        <v>-0.33835758835758833</v>
      </c>
      <c r="Q75" s="569">
        <f>'UBS Real Parque 1° SEM'!Q19</f>
        <v>11582</v>
      </c>
      <c r="R75" s="571">
        <f>'UBS Real Parque 1° SEM'!R19</f>
        <v>-0.33113883113883114</v>
      </c>
    </row>
    <row r="77" spans="1:18" ht="15.75" x14ac:dyDescent="0.25">
      <c r="A77" s="827" t="s">
        <v>351</v>
      </c>
      <c r="B77" s="828"/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</row>
    <row r="78" spans="1:18" ht="24.75" thickBot="1" x14ac:dyDescent="0.3">
      <c r="A78" s="555" t="s">
        <v>8</v>
      </c>
      <c r="B78" s="556" t="s">
        <v>9</v>
      </c>
      <c r="C78" s="557" t="str">
        <f t="shared" ref="C78:R78" si="3">C32</f>
        <v>JAN</v>
      </c>
      <c r="D78" s="558" t="str">
        <f t="shared" si="3"/>
        <v>%</v>
      </c>
      <c r="E78" s="557" t="str">
        <f t="shared" si="3"/>
        <v>FEV</v>
      </c>
      <c r="F78" s="558" t="str">
        <f t="shared" si="3"/>
        <v>%</v>
      </c>
      <c r="G78" s="557" t="str">
        <f t="shared" si="3"/>
        <v>MAR</v>
      </c>
      <c r="H78" s="558" t="str">
        <f t="shared" si="3"/>
        <v>%</v>
      </c>
      <c r="I78" s="559" t="str">
        <f t="shared" si="3"/>
        <v>Trimestre</v>
      </c>
      <c r="J78" s="559" t="str">
        <f t="shared" si="3"/>
        <v>%</v>
      </c>
      <c r="K78" s="557" t="str">
        <f t="shared" si="3"/>
        <v>ABR</v>
      </c>
      <c r="L78" s="558" t="str">
        <f t="shared" si="3"/>
        <v>%</v>
      </c>
      <c r="M78" s="557" t="str">
        <f t="shared" si="3"/>
        <v>MAI</v>
      </c>
      <c r="N78" s="558" t="str">
        <f t="shared" si="3"/>
        <v>%</v>
      </c>
      <c r="O78" s="557" t="str">
        <f t="shared" si="3"/>
        <v>JUN</v>
      </c>
      <c r="P78" s="558" t="str">
        <f t="shared" si="3"/>
        <v>%</v>
      </c>
      <c r="Q78" s="559" t="str">
        <f t="shared" si="3"/>
        <v>Trimestre</v>
      </c>
      <c r="R78" s="559" t="str">
        <f t="shared" si="3"/>
        <v>%</v>
      </c>
    </row>
    <row r="79" spans="1:18" ht="15.75" thickTop="1" x14ac:dyDescent="0.25">
      <c r="A79" s="560" t="str">
        <f>'UBS Sao Remo 1° SEM'!A7</f>
        <v>ACS</v>
      </c>
      <c r="B79" s="500">
        <f>'UBS Sao Remo 1° SEM'!B7</f>
        <v>3600</v>
      </c>
      <c r="C79" s="495">
        <f>'UBS Sao Remo 1° SEM'!C7</f>
        <v>3156</v>
      </c>
      <c r="D79" s="496">
        <f>'UBS Sao Remo 1° SEM'!D7</f>
        <v>-0.12333333333333329</v>
      </c>
      <c r="E79" s="495">
        <f>'UBS Sao Remo 1° SEM'!E7</f>
        <v>3386</v>
      </c>
      <c r="F79" s="496">
        <f>'UBS Sao Remo 1° SEM'!F7</f>
        <v>-5.9444444444444411E-2</v>
      </c>
      <c r="G79" s="495">
        <f>'UBS Sao Remo 1° SEM'!G7</f>
        <v>3630</v>
      </c>
      <c r="H79" s="496">
        <f>'UBS Sao Remo 1° SEM'!H7</f>
        <v>8.3333333333333037E-3</v>
      </c>
      <c r="I79" s="497">
        <f>'UBS Sao Remo 1° SEM'!I7</f>
        <v>10172</v>
      </c>
      <c r="J79" s="498">
        <f>'UBS Sao Remo 1° SEM'!J7</f>
        <v>-5.8148148148148171E-2</v>
      </c>
      <c r="K79" s="495">
        <f>'UBS Sao Remo 1° SEM'!K7</f>
        <v>3216</v>
      </c>
      <c r="L79" s="496">
        <f>'UBS Sao Remo 1° SEM'!L7</f>
        <v>-0.10666666666666669</v>
      </c>
      <c r="M79" s="495">
        <f>'UBS Sao Remo 1° SEM'!M7</f>
        <v>3411</v>
      </c>
      <c r="N79" s="496">
        <f>'UBS Sao Remo 1° SEM'!N7</f>
        <v>-5.2499999999999991E-2</v>
      </c>
      <c r="O79" s="495">
        <f>'UBS Sao Remo 1° SEM'!O7</f>
        <v>3171</v>
      </c>
      <c r="P79" s="496">
        <f>'UBS Sao Remo 1° SEM'!P7</f>
        <v>-0.11916666666666664</v>
      </c>
      <c r="Q79" s="497">
        <f>'UBS Sao Remo 1° SEM'!Q7</f>
        <v>9798</v>
      </c>
      <c r="R79" s="498">
        <f>'UBS Sao Remo 1° SEM'!R7</f>
        <v>-9.2777777777777737E-2</v>
      </c>
    </row>
    <row r="80" spans="1:18" x14ac:dyDescent="0.25">
      <c r="A80" s="560" t="str">
        <f>'UBS Sao Remo 1° SEM'!A8</f>
        <v>Médico Generalista</v>
      </c>
      <c r="B80" s="500">
        <f>'UBS Sao Remo 1° SEM'!B8</f>
        <v>1248</v>
      </c>
      <c r="C80" s="495">
        <f>'UBS Sao Remo 1° SEM'!C8</f>
        <v>1068</v>
      </c>
      <c r="D80" s="496">
        <f>'UBS Sao Remo 1° SEM'!D8</f>
        <v>-0.14423076923076927</v>
      </c>
      <c r="E80" s="495">
        <f>'UBS Sao Remo 1° SEM'!E8</f>
        <v>1541</v>
      </c>
      <c r="F80" s="496">
        <f>'UBS Sao Remo 1° SEM'!F8</f>
        <v>0.23477564102564097</v>
      </c>
      <c r="G80" s="495">
        <f>'UBS Sao Remo 1° SEM'!G8</f>
        <v>1092</v>
      </c>
      <c r="H80" s="496">
        <f>'UBS Sao Remo 1° SEM'!H8</f>
        <v>-0.125</v>
      </c>
      <c r="I80" s="497">
        <f>'UBS Sao Remo 1° SEM'!I8</f>
        <v>3701</v>
      </c>
      <c r="J80" s="498">
        <f>'UBS Sao Remo 1° SEM'!J8</f>
        <v>-1.1485042735042694E-2</v>
      </c>
      <c r="K80" s="495">
        <f>'UBS Sao Remo 1° SEM'!K8</f>
        <v>1211</v>
      </c>
      <c r="L80" s="496">
        <f>'UBS Sao Remo 1° SEM'!L8</f>
        <v>-2.9647435897435903E-2</v>
      </c>
      <c r="M80" s="495">
        <f>'UBS Sao Remo 1° SEM'!M8</f>
        <v>1631</v>
      </c>
      <c r="N80" s="496">
        <f>'UBS Sao Remo 1° SEM'!N8</f>
        <v>0.30689102564102555</v>
      </c>
      <c r="O80" s="495">
        <f>'UBS Sao Remo 1° SEM'!O8</f>
        <v>1226</v>
      </c>
      <c r="P80" s="496">
        <f>'UBS Sao Remo 1° SEM'!P8</f>
        <v>-1.7628205128205177E-2</v>
      </c>
      <c r="Q80" s="497">
        <f>'UBS Sao Remo 1° SEM'!Q8</f>
        <v>4068</v>
      </c>
      <c r="R80" s="498">
        <f>'UBS Sao Remo 1° SEM'!R8</f>
        <v>8.6538461538461453E-2</v>
      </c>
    </row>
    <row r="81" spans="1:18" x14ac:dyDescent="0.25">
      <c r="A81" s="560" t="str">
        <f>'UBS Sao Remo 1° SEM'!A9</f>
        <v>Enfermeiro - ESF</v>
      </c>
      <c r="B81" s="500">
        <f>'UBS Sao Remo 1° SEM'!B9</f>
        <v>468</v>
      </c>
      <c r="C81" s="495">
        <f>'UBS Sao Remo 1° SEM'!C9</f>
        <v>544</v>
      </c>
      <c r="D81" s="496">
        <f>'UBS Sao Remo 1° SEM'!D9</f>
        <v>0.16239316239316248</v>
      </c>
      <c r="E81" s="495">
        <f>'UBS Sao Remo 1° SEM'!E9</f>
        <v>525</v>
      </c>
      <c r="F81" s="496">
        <f>'UBS Sao Remo 1° SEM'!F9</f>
        <v>0.12179487179487181</v>
      </c>
      <c r="G81" s="495">
        <f>'UBS Sao Remo 1° SEM'!G9</f>
        <v>692</v>
      </c>
      <c r="H81" s="496">
        <f>'UBS Sao Remo 1° SEM'!H9</f>
        <v>0.47863247863247871</v>
      </c>
      <c r="I81" s="497">
        <f>'UBS Sao Remo 1° SEM'!I9</f>
        <v>1761</v>
      </c>
      <c r="J81" s="498">
        <f>'UBS Sao Remo 1° SEM'!J9</f>
        <v>0.25427350427350426</v>
      </c>
      <c r="K81" s="495">
        <f>'UBS Sao Remo 1° SEM'!K9</f>
        <v>460</v>
      </c>
      <c r="L81" s="496">
        <f>'UBS Sao Remo 1° SEM'!L9</f>
        <v>-1.7094017094017144E-2</v>
      </c>
      <c r="M81" s="495">
        <f>'UBS Sao Remo 1° SEM'!M9</f>
        <v>610</v>
      </c>
      <c r="N81" s="496">
        <f>'UBS Sao Remo 1° SEM'!N9</f>
        <v>0.30341880341880345</v>
      </c>
      <c r="O81" s="495">
        <f>'UBS Sao Remo 1° SEM'!O9</f>
        <v>540</v>
      </c>
      <c r="P81" s="496">
        <f>'UBS Sao Remo 1° SEM'!P9</f>
        <v>0.15384615384615374</v>
      </c>
      <c r="Q81" s="497">
        <f>'UBS Sao Remo 1° SEM'!Q9</f>
        <v>1610</v>
      </c>
      <c r="R81" s="498">
        <f>'UBS Sao Remo 1° SEM'!R9</f>
        <v>0.14672364672364679</v>
      </c>
    </row>
    <row r="82" spans="1:18" x14ac:dyDescent="0.25">
      <c r="A82" s="572" t="str">
        <f>'UBS Sao Remo 1° SEM'!A10</f>
        <v>Clínico Geral</v>
      </c>
      <c r="B82" s="561">
        <f>'UBS Sao Remo 1° SEM'!B10</f>
        <v>526</v>
      </c>
      <c r="C82" s="562">
        <f>'UBS Sao Remo 1° SEM'!C10</f>
        <v>215</v>
      </c>
      <c r="D82" s="496">
        <f>'UBS Sao Remo 1° SEM'!D10</f>
        <v>-0.59125475285171103</v>
      </c>
      <c r="E82" s="562">
        <f>'UBS Sao Remo 1° SEM'!E10</f>
        <v>230</v>
      </c>
      <c r="F82" s="496">
        <f>'UBS Sao Remo 1° SEM'!F10</f>
        <v>-0.56273764258555126</v>
      </c>
      <c r="G82" s="562">
        <f>'UBS Sao Remo 1° SEM'!G10</f>
        <v>618</v>
      </c>
      <c r="H82" s="551">
        <f>'UBS Sao Remo 1° SEM'!H10</f>
        <v>0.17490494296577941</v>
      </c>
      <c r="I82" s="552">
        <f>'UBS Sao Remo 1° SEM'!I10</f>
        <v>1063</v>
      </c>
      <c r="J82" s="553">
        <f>'UBS Sao Remo 1° SEM'!J10</f>
        <v>-0.32636248415716096</v>
      </c>
      <c r="K82" s="562">
        <f>'UBS Sao Remo 1° SEM'!K10</f>
        <v>309</v>
      </c>
      <c r="L82" s="551">
        <f>'UBS Sao Remo 1° SEM'!L10</f>
        <v>-0.4125475285171103</v>
      </c>
      <c r="M82" s="562">
        <f>'UBS Sao Remo 1° SEM'!M10</f>
        <v>547</v>
      </c>
      <c r="N82" s="551">
        <f>'UBS Sao Remo 1° SEM'!N10</f>
        <v>3.9923954372623527E-2</v>
      </c>
      <c r="O82" s="562">
        <f>'UBS Sao Remo 1° SEM'!O10</f>
        <v>511</v>
      </c>
      <c r="P82" s="551">
        <f>'UBS Sao Remo 1° SEM'!P10</f>
        <v>-2.8517110266159662E-2</v>
      </c>
      <c r="Q82" s="552">
        <f>'UBS Sao Remo 1° SEM'!Q10</f>
        <v>1367</v>
      </c>
      <c r="R82" s="553">
        <f>'UBS Sao Remo 1° SEM'!R10</f>
        <v>-0.13371356147021551</v>
      </c>
    </row>
    <row r="83" spans="1:18" x14ac:dyDescent="0.25">
      <c r="A83" s="563" t="str">
        <f>'UBS Sao Remo 1° SEM'!A11</f>
        <v>Tocoginecologista</v>
      </c>
      <c r="B83" s="561">
        <f>'UBS Sao Remo 1° SEM'!B11</f>
        <v>263</v>
      </c>
      <c r="C83" s="562">
        <f>'UBS Sao Remo 1° SEM'!C11</f>
        <v>16</v>
      </c>
      <c r="D83" s="496">
        <f>'UBS Sao Remo 1° SEM'!D11</f>
        <v>-0.93916349809885935</v>
      </c>
      <c r="E83" s="562">
        <f>'UBS Sao Remo 1° SEM'!E11</f>
        <v>131</v>
      </c>
      <c r="F83" s="496">
        <f>'UBS Sao Remo 1° SEM'!F11</f>
        <v>-0.50190114068441072</v>
      </c>
      <c r="G83" s="562">
        <f>'UBS Sao Remo 1° SEM'!G11</f>
        <v>262</v>
      </c>
      <c r="H83" s="551">
        <f>'UBS Sao Remo 1° SEM'!H11</f>
        <v>-3.8022813688213253E-3</v>
      </c>
      <c r="I83" s="552">
        <f>'UBS Sao Remo 1° SEM'!I11</f>
        <v>409</v>
      </c>
      <c r="J83" s="553">
        <f>'UBS Sao Remo 1° SEM'!J11</f>
        <v>-0.48162230671736372</v>
      </c>
      <c r="K83" s="562">
        <f>'UBS Sao Remo 1° SEM'!K11</f>
        <v>203</v>
      </c>
      <c r="L83" s="551">
        <f>'UBS Sao Remo 1° SEM'!L11</f>
        <v>-0.22813688212927752</v>
      </c>
      <c r="M83" s="562">
        <f>'UBS Sao Remo 1° SEM'!M11</f>
        <v>260</v>
      </c>
      <c r="N83" s="551">
        <f>'UBS Sao Remo 1° SEM'!N11</f>
        <v>-1.1406844106463865E-2</v>
      </c>
      <c r="O83" s="562">
        <f>'UBS Sao Remo 1° SEM'!O11</f>
        <v>237</v>
      </c>
      <c r="P83" s="551">
        <f>'UBS Sao Remo 1° SEM'!P11</f>
        <v>-9.8859315589353569E-2</v>
      </c>
      <c r="Q83" s="552">
        <f>'UBS Sao Remo 1° SEM'!Q11</f>
        <v>700</v>
      </c>
      <c r="R83" s="553">
        <f>'UBS Sao Remo 1° SEM'!R11</f>
        <v>-0.11280101394169839</v>
      </c>
    </row>
    <row r="84" spans="1:18" x14ac:dyDescent="0.25">
      <c r="A84" s="509" t="str">
        <f>'UBS Sao Remo 1° SEM'!A12</f>
        <v>Pediatra</v>
      </c>
      <c r="B84" s="500">
        <f>'UBS Sao Remo 1° SEM'!B12</f>
        <v>263</v>
      </c>
      <c r="C84" s="495">
        <f>'UBS Sao Remo 1° SEM'!C12</f>
        <v>303</v>
      </c>
      <c r="D84" s="496">
        <f>'UBS Sao Remo 1° SEM'!D12</f>
        <v>0.15209125475285168</v>
      </c>
      <c r="E84" s="495">
        <f>'UBS Sao Remo 1° SEM'!E12</f>
        <v>77</v>
      </c>
      <c r="F84" s="496">
        <f>'UBS Sao Remo 1° SEM'!F12</f>
        <v>-0.70722433460076051</v>
      </c>
      <c r="G84" s="495">
        <f>'UBS Sao Remo 1° SEM'!G12</f>
        <v>55</v>
      </c>
      <c r="H84" s="496">
        <f>'UBS Sao Remo 1° SEM'!H12</f>
        <v>-0.79087452471482889</v>
      </c>
      <c r="I84" s="552">
        <f>'UBS Sao Remo 1° SEM'!I12</f>
        <v>435</v>
      </c>
      <c r="J84" s="553">
        <f>'UBS Sao Remo 1° SEM'!J12</f>
        <v>-0.4486692015209125</v>
      </c>
      <c r="K84" s="495">
        <f>'UBS Sao Remo 1° SEM'!K12</f>
        <v>191</v>
      </c>
      <c r="L84" s="496">
        <f>'UBS Sao Remo 1° SEM'!L12</f>
        <v>-0.27376425855513309</v>
      </c>
      <c r="M84" s="495">
        <f>'UBS Sao Remo 1° SEM'!M12</f>
        <v>215</v>
      </c>
      <c r="N84" s="496">
        <f>'UBS Sao Remo 1° SEM'!N12</f>
        <v>-0.18250950570342206</v>
      </c>
      <c r="O84" s="495">
        <f>'UBS Sao Remo 1° SEM'!O12</f>
        <v>182</v>
      </c>
      <c r="P84" s="496">
        <f>'UBS Sao Remo 1° SEM'!P12</f>
        <v>-0.30798479087452468</v>
      </c>
      <c r="Q84" s="552">
        <f>'UBS Sao Remo 1° SEM'!Q12</f>
        <v>588</v>
      </c>
      <c r="R84" s="553">
        <f>'UBS Sao Remo 1° SEM'!R12</f>
        <v>-0.25475285171102657</v>
      </c>
    </row>
    <row r="85" spans="1:18" x14ac:dyDescent="0.25">
      <c r="A85" s="509" t="str">
        <f>'UBS Sao Remo 1° SEM'!A13</f>
        <v>Psiquiatra</v>
      </c>
      <c r="B85" s="500">
        <f>'UBS Sao Remo 1° SEM'!B13</f>
        <v>166</v>
      </c>
      <c r="C85" s="495">
        <f>'UBS Sao Remo 1° SEM'!C13</f>
        <v>0</v>
      </c>
      <c r="D85" s="496">
        <f>'UBS Sao Remo 1° SEM'!D13</f>
        <v>-1</v>
      </c>
      <c r="E85" s="495">
        <f>'UBS Sao Remo 1° SEM'!E13</f>
        <v>0</v>
      </c>
      <c r="F85" s="496">
        <f>'UBS Sao Remo 1° SEM'!F13</f>
        <v>-1</v>
      </c>
      <c r="G85" s="495">
        <f>'UBS Sao Remo 1° SEM'!G13</f>
        <v>95</v>
      </c>
      <c r="H85" s="496">
        <f>'UBS Sao Remo 1° SEM'!H13</f>
        <v>-0.42771084337349397</v>
      </c>
      <c r="I85" s="552">
        <f>'UBS Sao Remo 1° SEM'!I13</f>
        <v>95</v>
      </c>
      <c r="J85" s="553">
        <f>'UBS Sao Remo 1° SEM'!J13</f>
        <v>-0.80923694779116462</v>
      </c>
      <c r="K85" s="495">
        <f>'UBS Sao Remo 1° SEM'!K13</f>
        <v>28</v>
      </c>
      <c r="L85" s="496">
        <f>'UBS Sao Remo 1° SEM'!L13</f>
        <v>-0.83132530120481929</v>
      </c>
      <c r="M85" s="495">
        <f>'UBS Sao Remo 1° SEM'!M13</f>
        <v>100</v>
      </c>
      <c r="N85" s="496">
        <f>'UBS Sao Remo 1° SEM'!N13</f>
        <v>-0.39759036144578308</v>
      </c>
      <c r="O85" s="495">
        <f>'UBS Sao Remo 1° SEM'!O13</f>
        <v>119</v>
      </c>
      <c r="P85" s="496">
        <f>'UBS Sao Remo 1° SEM'!P13</f>
        <v>-0.2831325301204819</v>
      </c>
      <c r="Q85" s="552">
        <f>'UBS Sao Remo 1° SEM'!Q13</f>
        <v>247</v>
      </c>
      <c r="R85" s="553">
        <f>'UBS Sao Remo 1° SEM'!R13</f>
        <v>-0.50401606425702816</v>
      </c>
    </row>
    <row r="86" spans="1:18" ht="24" x14ac:dyDescent="0.25">
      <c r="A86" s="493" t="str">
        <f>'UBS Sao Remo 1° SEM'!A14</f>
        <v>Cirurgião Dentista II (atendimento individual)</v>
      </c>
      <c r="B86" s="500">
        <f>'UBS Sao Remo 1° SEM'!B14</f>
        <v>216</v>
      </c>
      <c r="C86" s="495">
        <f>'UBS Sao Remo 1° SEM'!C14</f>
        <v>182</v>
      </c>
      <c r="D86" s="496">
        <f>'UBS Sao Remo 1° SEM'!D14</f>
        <v>-0.15740740740740744</v>
      </c>
      <c r="E86" s="495">
        <f>'UBS Sao Remo 1° SEM'!E14</f>
        <v>213</v>
      </c>
      <c r="F86" s="496">
        <f>'UBS Sao Remo 1° SEM'!F14</f>
        <v>-1.388888888888884E-2</v>
      </c>
      <c r="G86" s="495">
        <f>'UBS Sao Remo 1° SEM'!G14</f>
        <v>254</v>
      </c>
      <c r="H86" s="496">
        <f>'UBS Sao Remo 1° SEM'!H14</f>
        <v>0.17592592592592582</v>
      </c>
      <c r="I86" s="552">
        <f>'UBS Sao Remo 1° SEM'!I14</f>
        <v>649</v>
      </c>
      <c r="J86" s="553">
        <f>'UBS Sao Remo 1° SEM'!J14</f>
        <v>1.5432098765431057E-3</v>
      </c>
      <c r="K86" s="495">
        <f>'UBS Sao Remo 1° SEM'!K14</f>
        <v>103</v>
      </c>
      <c r="L86" s="496">
        <f>'UBS Sao Remo 1° SEM'!L14</f>
        <v>-0.52314814814814814</v>
      </c>
      <c r="M86" s="495">
        <f>'UBS Sao Remo 1° SEM'!M14</f>
        <v>315</v>
      </c>
      <c r="N86" s="496">
        <f>'UBS Sao Remo 1° SEM'!N14</f>
        <v>0.45833333333333326</v>
      </c>
      <c r="O86" s="495">
        <f>'UBS Sao Remo 1° SEM'!O14</f>
        <v>255</v>
      </c>
      <c r="P86" s="496">
        <f>'UBS Sao Remo 1° SEM'!P14</f>
        <v>0.18055555555555558</v>
      </c>
      <c r="Q86" s="552">
        <f>'UBS Sao Remo 1° SEM'!Q14</f>
        <v>673</v>
      </c>
      <c r="R86" s="553">
        <f>'UBS Sao Remo 1° SEM'!R14</f>
        <v>3.8580246913580307E-2</v>
      </c>
    </row>
    <row r="87" spans="1:18" ht="24" x14ac:dyDescent="0.25">
      <c r="A87" s="700" t="str">
        <f>'UBS Sao Remo 1° SEM'!A15</f>
        <v>Cirurgião Dentista II (procedimeto individual)</v>
      </c>
      <c r="B87" s="561">
        <f>'UBS Sao Remo 1° SEM'!B15</f>
        <v>756</v>
      </c>
      <c r="C87" s="562">
        <f>'UBS Sao Remo 1° SEM'!C15</f>
        <v>361</v>
      </c>
      <c r="D87" s="551">
        <f>'UBS Sao Remo 1° SEM'!D15</f>
        <v>-0.52248677248677255</v>
      </c>
      <c r="E87" s="562">
        <f>'UBS Sao Remo 1° SEM'!E15</f>
        <v>481</v>
      </c>
      <c r="F87" s="551">
        <f>'UBS Sao Remo 1° SEM'!F15</f>
        <v>-0.36375661375661372</v>
      </c>
      <c r="G87" s="562">
        <f>'UBS Sao Remo 1° SEM'!G15</f>
        <v>570</v>
      </c>
      <c r="H87" s="551">
        <f>'UBS Sao Remo 1° SEM'!H15</f>
        <v>-0.24603174603174605</v>
      </c>
      <c r="I87" s="552">
        <f>'UBS Sao Remo 1° SEM'!I15</f>
        <v>1412</v>
      </c>
      <c r="J87" s="553">
        <f>'UBS Sao Remo 1° SEM'!J15</f>
        <v>-0.37742504409171074</v>
      </c>
      <c r="K87" s="562">
        <f>'UBS Sao Remo 1° SEM'!K15</f>
        <v>399</v>
      </c>
      <c r="L87" s="551">
        <f>'UBS Sao Remo 1° SEM'!L15</f>
        <v>-0.47222222222222221</v>
      </c>
      <c r="M87" s="562">
        <f>'UBS Sao Remo 1° SEM'!M15</f>
        <v>839</v>
      </c>
      <c r="N87" s="551">
        <f>'UBS Sao Remo 1° SEM'!N15</f>
        <v>0.10978835978835977</v>
      </c>
      <c r="O87" s="562">
        <f>'UBS Sao Remo 1° SEM'!O15</f>
        <v>609</v>
      </c>
      <c r="P87" s="551">
        <f>'UBS Sao Remo 1° SEM'!P15</f>
        <v>-0.19444444444444442</v>
      </c>
      <c r="Q87" s="552">
        <f>'UBS Sao Remo 1° SEM'!Q15</f>
        <v>1847</v>
      </c>
      <c r="R87" s="553">
        <f>'UBS Sao Remo 1° SEM'!R15</f>
        <v>-0.18562610229276899</v>
      </c>
    </row>
    <row r="88" spans="1:18" ht="24" x14ac:dyDescent="0.25">
      <c r="A88" s="493" t="str">
        <f>'UBS Sao Remo 1° SEM'!A16</f>
        <v>Cirurgião Dentista (atendimento i ndividual)</v>
      </c>
      <c r="B88" s="500">
        <f>'UBS Sao Remo 1° SEM'!B16</f>
        <v>80</v>
      </c>
      <c r="C88" s="495">
        <f>'UBS Sao Remo 1° SEM'!C16</f>
        <v>75</v>
      </c>
      <c r="D88" s="496">
        <f>'UBS Sao Remo 1° SEM'!D16</f>
        <v>-6.25E-2</v>
      </c>
      <c r="E88" s="495">
        <f>'UBS Sao Remo 1° SEM'!E16</f>
        <v>76</v>
      </c>
      <c r="F88" s="496">
        <f>'UBS Sao Remo 1° SEM'!F16</f>
        <v>-5.0000000000000044E-2</v>
      </c>
      <c r="G88" s="495">
        <f>'UBS Sao Remo 1° SEM'!G16</f>
        <v>100</v>
      </c>
      <c r="H88" s="496">
        <f>'UBS Sao Remo 1° SEM'!H16</f>
        <v>0.25</v>
      </c>
      <c r="I88" s="552">
        <f>'UBS Sao Remo 1° SEM'!I16</f>
        <v>251</v>
      </c>
      <c r="J88" s="553">
        <f>'UBS Sao Remo 1° SEM'!J16</f>
        <v>4.5833333333333393E-2</v>
      </c>
      <c r="K88" s="495">
        <f>'UBS Sao Remo 1° SEM'!K16</f>
        <v>45</v>
      </c>
      <c r="L88" s="496">
        <f>'UBS Sao Remo 1° SEM'!L16</f>
        <v>-0.4375</v>
      </c>
      <c r="M88" s="495">
        <f>'UBS Sao Remo 1° SEM'!M16</f>
        <v>63</v>
      </c>
      <c r="N88" s="496">
        <f>'UBS Sao Remo 1° SEM'!N16</f>
        <v>-0.21250000000000002</v>
      </c>
      <c r="O88" s="495">
        <f>'UBS Sao Remo 1° SEM'!O16</f>
        <v>21</v>
      </c>
      <c r="P88" s="496">
        <f>'UBS Sao Remo 1° SEM'!P16</f>
        <v>-0.73750000000000004</v>
      </c>
      <c r="Q88" s="552">
        <f>'UBS Sao Remo 1° SEM'!Q16</f>
        <v>129</v>
      </c>
      <c r="R88" s="553">
        <f>'UBS Sao Remo 1° SEM'!R16</f>
        <v>-0.46250000000000002</v>
      </c>
    </row>
    <row r="89" spans="1:18" ht="24.75" thickBot="1" x14ac:dyDescent="0.3">
      <c r="A89" s="702" t="str">
        <f>'UBS Sao Remo 1° SEM'!A17</f>
        <v>Cirurgião Dentista (prodecimento individual)</v>
      </c>
      <c r="B89" s="573">
        <f>'UBS Sao Remo 1° SEM'!B17</f>
        <v>200</v>
      </c>
      <c r="C89" s="574">
        <f>'UBS Sao Remo 1° SEM'!C17</f>
        <v>118</v>
      </c>
      <c r="D89" s="575">
        <f>'UBS Sao Remo 1° SEM'!D17</f>
        <v>-0.41000000000000003</v>
      </c>
      <c r="E89" s="574">
        <f>'UBS Sao Remo 1° SEM'!E17</f>
        <v>170</v>
      </c>
      <c r="F89" s="575">
        <f>'UBS Sao Remo 1° SEM'!F17</f>
        <v>-0.15000000000000002</v>
      </c>
      <c r="G89" s="574">
        <f>'UBS Sao Remo 1° SEM'!G17</f>
        <v>174</v>
      </c>
      <c r="H89" s="575">
        <f>'UBS Sao Remo 1° SEM'!H17</f>
        <v>-0.13</v>
      </c>
      <c r="I89" s="576">
        <f>'UBS Sao Remo 1° SEM'!I17</f>
        <v>462</v>
      </c>
      <c r="J89" s="577">
        <f>'UBS Sao Remo 1° SEM'!J17</f>
        <v>-0.22999999999999998</v>
      </c>
      <c r="K89" s="574">
        <f>'UBS Sao Remo 1° SEM'!K17</f>
        <v>77</v>
      </c>
      <c r="L89" s="575">
        <f>'UBS Sao Remo 1° SEM'!L17</f>
        <v>-0.61499999999999999</v>
      </c>
      <c r="M89" s="574">
        <f>'UBS Sao Remo 1° SEM'!M17</f>
        <v>142</v>
      </c>
      <c r="N89" s="575">
        <f>'UBS Sao Remo 1° SEM'!N17</f>
        <v>-0.29000000000000004</v>
      </c>
      <c r="O89" s="574">
        <f>'UBS Sao Remo 1° SEM'!O17</f>
        <v>39</v>
      </c>
      <c r="P89" s="575">
        <f>'UBS Sao Remo 1° SEM'!P17</f>
        <v>-0.80499999999999994</v>
      </c>
      <c r="Q89" s="552">
        <f>'UBS Sao Remo 1° SEM'!Q17</f>
        <v>258</v>
      </c>
      <c r="R89" s="553">
        <f>'UBS Sao Remo 1° SEM'!R17</f>
        <v>-0.57000000000000006</v>
      </c>
    </row>
    <row r="90" spans="1:18" ht="15.75" thickBot="1" x14ac:dyDescent="0.3">
      <c r="A90" s="524" t="str">
        <f>'UBS Sao Remo 1° SEM'!A18</f>
        <v>SOMA</v>
      </c>
      <c r="B90" s="567">
        <f>'UBS Sao Remo 1° SEM'!B18</f>
        <v>7786</v>
      </c>
      <c r="C90" s="526">
        <f>'UBS Sao Remo 1° SEM'!C18</f>
        <v>6038</v>
      </c>
      <c r="D90" s="527">
        <f>'UBS Sao Remo 1° SEM'!D18</f>
        <v>-0.22450552273311075</v>
      </c>
      <c r="E90" s="526">
        <f>'UBS Sao Remo 1° SEM'!E18</f>
        <v>6830</v>
      </c>
      <c r="F90" s="527">
        <f>'UBS Sao Remo 1° SEM'!F18</f>
        <v>-0.12278448497302852</v>
      </c>
      <c r="G90" s="526">
        <f>'UBS Sao Remo 1° SEM'!G18</f>
        <v>7542</v>
      </c>
      <c r="H90" s="568">
        <f>'UBS Sao Remo 1° SEM'!H18</f>
        <v>-3.1338299511944556E-2</v>
      </c>
      <c r="I90" s="578">
        <f>'UBS Sao Remo 1° SEM'!I18</f>
        <v>20410</v>
      </c>
      <c r="J90" s="579">
        <f>'UBS Sao Remo 1° SEM'!J18</f>
        <v>-0.12620943573936128</v>
      </c>
      <c r="K90" s="526">
        <f>'UBS Sao Remo 1° SEM'!K18</f>
        <v>6242</v>
      </c>
      <c r="L90" s="527">
        <f>'UBS Sao Remo 1° SEM'!L18</f>
        <v>-0.19830464937066528</v>
      </c>
      <c r="M90" s="526">
        <f>'UBS Sao Remo 1° SEM'!M18</f>
        <v>8133</v>
      </c>
      <c r="N90" s="527">
        <f>'UBS Sao Remo 1° SEM'!N18</f>
        <v>4.456717184690473E-2</v>
      </c>
      <c r="O90" s="526">
        <f>'UBS Sao Remo 1° SEM'!O18</f>
        <v>6910</v>
      </c>
      <c r="P90" s="568">
        <f>'UBS Sao Remo 1° SEM'!P18</f>
        <v>-0.11250963267403036</v>
      </c>
      <c r="Q90" s="569">
        <f>'UBS Sao Remo 1° SEM'!Q18</f>
        <v>21285</v>
      </c>
      <c r="R90" s="571">
        <f>'UBS Sao Remo 1° SEM'!R18</f>
        <v>-8.8749036732596931E-2</v>
      </c>
    </row>
    <row r="92" spans="1:18" ht="15.75" x14ac:dyDescent="0.25">
      <c r="A92" s="827" t="s">
        <v>353</v>
      </c>
      <c r="B92" s="828"/>
      <c r="C92" s="828"/>
      <c r="D92" s="828"/>
      <c r="E92" s="828"/>
      <c r="F92" s="828"/>
      <c r="G92" s="828"/>
      <c r="H92" s="828"/>
      <c r="I92" s="828"/>
      <c r="J92" s="828"/>
      <c r="K92" s="828"/>
      <c r="L92" s="828"/>
      <c r="M92" s="828"/>
      <c r="N92" s="828"/>
      <c r="O92" s="828"/>
      <c r="P92" s="828"/>
      <c r="Q92" s="828"/>
      <c r="R92" s="828"/>
    </row>
    <row r="93" spans="1:18" ht="24.75" thickBot="1" x14ac:dyDescent="0.3">
      <c r="A93" s="580" t="s">
        <v>8</v>
      </c>
      <c r="B93" s="581" t="s">
        <v>9</v>
      </c>
      <c r="C93" s="535" t="str">
        <f t="shared" ref="C93:R93" si="4">C32</f>
        <v>JAN</v>
      </c>
      <c r="D93" s="536" t="str">
        <f t="shared" si="4"/>
        <v>%</v>
      </c>
      <c r="E93" s="535" t="str">
        <f t="shared" si="4"/>
        <v>FEV</v>
      </c>
      <c r="F93" s="536" t="str">
        <f t="shared" si="4"/>
        <v>%</v>
      </c>
      <c r="G93" s="535" t="str">
        <f t="shared" si="4"/>
        <v>MAR</v>
      </c>
      <c r="H93" s="536" t="str">
        <f t="shared" si="4"/>
        <v>%</v>
      </c>
      <c r="I93" s="537" t="str">
        <f t="shared" si="4"/>
        <v>Trimestre</v>
      </c>
      <c r="J93" s="537" t="str">
        <f t="shared" si="4"/>
        <v>%</v>
      </c>
      <c r="K93" s="535" t="str">
        <f t="shared" si="4"/>
        <v>ABR</v>
      </c>
      <c r="L93" s="536" t="str">
        <f t="shared" si="4"/>
        <v>%</v>
      </c>
      <c r="M93" s="535" t="str">
        <f t="shared" si="4"/>
        <v>MAI</v>
      </c>
      <c r="N93" s="536" t="str">
        <f t="shared" si="4"/>
        <v>%</v>
      </c>
      <c r="O93" s="535" t="str">
        <f t="shared" si="4"/>
        <v>JUN</v>
      </c>
      <c r="P93" s="536" t="str">
        <f t="shared" si="4"/>
        <v>%</v>
      </c>
      <c r="Q93" s="537" t="str">
        <f t="shared" si="4"/>
        <v>Trimestre</v>
      </c>
      <c r="R93" s="537" t="str">
        <f t="shared" si="4"/>
        <v>%</v>
      </c>
    </row>
    <row r="94" spans="1:18" ht="24.75" thickTop="1" x14ac:dyDescent="0.25">
      <c r="A94" s="701" t="str">
        <f>'AMA e UBS Vila Sonia 1° SEM'!A7</f>
        <v>Cirurgião Dentista (atendimento individual) UBS</v>
      </c>
      <c r="B94" s="513">
        <f>'AMA e UBS Vila Sonia 1° SEM'!B7</f>
        <v>576</v>
      </c>
      <c r="C94" s="514">
        <f>'AMA e UBS Vila Sonia 1° SEM'!C7</f>
        <v>616</v>
      </c>
      <c r="D94" s="539">
        <f>'AMA e UBS Vila Sonia 1° SEM'!D7</f>
        <v>6.944444444444442E-2</v>
      </c>
      <c r="E94" s="516">
        <f>'AMA e UBS Vila Sonia 1° SEM'!E7</f>
        <v>532</v>
      </c>
      <c r="F94" s="539">
        <f>'AMA e UBS Vila Sonia 1° SEM'!F7</f>
        <v>-7.638888888888884E-2</v>
      </c>
      <c r="G94" s="516">
        <f>'AMA e UBS Vila Sonia 1° SEM'!G7</f>
        <v>732</v>
      </c>
      <c r="H94" s="539">
        <f>'AMA e UBS Vila Sonia 1° SEM'!H7</f>
        <v>0.27083333333333326</v>
      </c>
      <c r="I94" s="518">
        <f>'AMA e UBS Vila Sonia 1° SEM'!I7</f>
        <v>1880</v>
      </c>
      <c r="J94" s="540">
        <f>'AMA e UBS Vila Sonia 1° SEM'!J7</f>
        <v>8.7962962962963021E-2</v>
      </c>
      <c r="K94" s="516">
        <f>'AMA e UBS Vila Sonia 1° SEM'!K7</f>
        <v>403</v>
      </c>
      <c r="L94" s="539">
        <f>'AMA e UBS Vila Sonia 1° SEM'!L7</f>
        <v>-0.30034722222222221</v>
      </c>
      <c r="M94" s="516">
        <f>'AMA e UBS Vila Sonia 1° SEM'!M7</f>
        <v>636</v>
      </c>
      <c r="N94" s="539">
        <f>'AMA e UBS Vila Sonia 1° SEM'!N7</f>
        <v>0.10416666666666674</v>
      </c>
      <c r="O94" s="516">
        <f>'AMA e UBS Vila Sonia 1° SEM'!O7</f>
        <v>613</v>
      </c>
      <c r="P94" s="539">
        <f>'AMA e UBS Vila Sonia 1° SEM'!P7</f>
        <v>6.423611111111116E-2</v>
      </c>
      <c r="Q94" s="518">
        <f>'AMA e UBS Vila Sonia 1° SEM'!Q7</f>
        <v>1652</v>
      </c>
      <c r="R94" s="540">
        <f>'AMA e UBS Vila Sonia 1° SEM'!R7</f>
        <v>-4.398148148148151E-2</v>
      </c>
    </row>
    <row r="95" spans="1:18" ht="24" x14ac:dyDescent="0.25">
      <c r="A95" s="701" t="str">
        <f>'AMA e UBS Vila Sonia 1° SEM'!A8</f>
        <v>Cirurgião Dentista (procedimento) UBS</v>
      </c>
      <c r="B95" s="582">
        <f>'AMA e UBS Vila Sonia 1° SEM'!B8</f>
        <v>2016</v>
      </c>
      <c r="C95" s="583">
        <f>'AMA e UBS Vila Sonia 1° SEM'!C8</f>
        <v>2759</v>
      </c>
      <c r="D95" s="539">
        <f>'AMA e UBS Vila Sonia 1° SEM'!D8</f>
        <v>0.36855158730158721</v>
      </c>
      <c r="E95" s="523">
        <f>'AMA e UBS Vila Sonia 1° SEM'!E8</f>
        <v>2229</v>
      </c>
      <c r="F95" s="539">
        <f>'AMA e UBS Vila Sonia 1° SEM'!F8</f>
        <v>0.10565476190476186</v>
      </c>
      <c r="G95" s="523">
        <f>'AMA e UBS Vila Sonia 1° SEM'!G8</f>
        <v>2852</v>
      </c>
      <c r="H95" s="539">
        <f>'AMA e UBS Vila Sonia 1° SEM'!H8</f>
        <v>0.41468253968253976</v>
      </c>
      <c r="I95" s="518">
        <f>'AMA e UBS Vila Sonia 1° SEM'!I8</f>
        <v>7840</v>
      </c>
      <c r="J95" s="540">
        <f>'AMA e UBS Vila Sonia 1° SEM'!J8</f>
        <v>0.29629629629629628</v>
      </c>
      <c r="K95" s="523">
        <f>'AMA e UBS Vila Sonia 1° SEM'!K8</f>
        <v>2437</v>
      </c>
      <c r="L95" s="539">
        <f>'AMA e UBS Vila Sonia 1° SEM'!L8</f>
        <v>0.20882936507936511</v>
      </c>
      <c r="M95" s="523">
        <f>'AMA e UBS Vila Sonia 1° SEM'!M8</f>
        <v>3115</v>
      </c>
      <c r="N95" s="539">
        <f>'AMA e UBS Vila Sonia 1° SEM'!N8</f>
        <v>0.54513888888888884</v>
      </c>
      <c r="O95" s="523">
        <f>'AMA e UBS Vila Sonia 1° SEM'!O8</f>
        <v>1797</v>
      </c>
      <c r="P95" s="539">
        <f>'AMA e UBS Vila Sonia 1° SEM'!P8</f>
        <v>-0.10863095238095233</v>
      </c>
      <c r="Q95" s="518">
        <f>'AMA e UBS Vila Sonia 1° SEM'!Q8</f>
        <v>7349</v>
      </c>
      <c r="R95" s="540">
        <f>'AMA e UBS Vila Sonia 1° SEM'!R8</f>
        <v>0.21511243386243395</v>
      </c>
    </row>
    <row r="96" spans="1:18" x14ac:dyDescent="0.25">
      <c r="A96" s="701" t="str">
        <f>'AMA e UBS Vila Sonia 1° SEM'!A9</f>
        <v>Clinico (consulta) UBS</v>
      </c>
      <c r="B96" s="582">
        <f>'AMA e UBS Vila Sonia 1° SEM'!B9</f>
        <v>1578</v>
      </c>
      <c r="C96" s="583">
        <f>'AMA e UBS Vila Sonia 1° SEM'!C9</f>
        <v>1756</v>
      </c>
      <c r="D96" s="539">
        <f>'AMA e UBS Vila Sonia 1° SEM'!D9</f>
        <v>0.11280101394169839</v>
      </c>
      <c r="E96" s="523">
        <f>'AMA e UBS Vila Sonia 1° SEM'!E9</f>
        <v>1549</v>
      </c>
      <c r="F96" s="539">
        <f>'AMA e UBS Vila Sonia 1° SEM'!F9</f>
        <v>-1.8377693282636276E-2</v>
      </c>
      <c r="G96" s="523">
        <f>'AMA e UBS Vila Sonia 1° SEM'!G9</f>
        <v>1772</v>
      </c>
      <c r="H96" s="539">
        <f>'AMA e UBS Vila Sonia 1° SEM'!H9</f>
        <v>0.12294043092522178</v>
      </c>
      <c r="I96" s="518">
        <f>'AMA e UBS Vila Sonia 1° SEM'!I9</f>
        <v>5077</v>
      </c>
      <c r="J96" s="540">
        <f>'AMA e UBS Vila Sonia 1° SEM'!J9</f>
        <v>7.245458386142789E-2</v>
      </c>
      <c r="K96" s="523">
        <f>'AMA e UBS Vila Sonia 1° SEM'!K9</f>
        <v>1254</v>
      </c>
      <c r="L96" s="539">
        <f>'AMA e UBS Vila Sonia 1° SEM'!L9</f>
        <v>-0.20532319391634979</v>
      </c>
      <c r="M96" s="523">
        <f>'AMA e UBS Vila Sonia 1° SEM'!M9</f>
        <v>1755</v>
      </c>
      <c r="N96" s="539">
        <f>'AMA e UBS Vila Sonia 1° SEM'!N9</f>
        <v>0.11216730038022815</v>
      </c>
      <c r="O96" s="523">
        <f>'AMA e UBS Vila Sonia 1° SEM'!O9</f>
        <v>1401</v>
      </c>
      <c r="P96" s="539">
        <f>'AMA e UBS Vila Sonia 1° SEM'!P9</f>
        <v>-0.11216730038022815</v>
      </c>
      <c r="Q96" s="518">
        <f>'AMA e UBS Vila Sonia 1° SEM'!Q9</f>
        <v>4410</v>
      </c>
      <c r="R96" s="540">
        <f>'AMA e UBS Vila Sonia 1° SEM'!R9</f>
        <v>-6.84410646387833E-2</v>
      </c>
    </row>
    <row r="97" spans="1:18" ht="24" x14ac:dyDescent="0.25">
      <c r="A97" s="701" t="str">
        <f>'AMA e UBS Vila Sonia 1° SEM'!A10</f>
        <v>Tocoginecologista (consulta) UBS</v>
      </c>
      <c r="B97" s="582">
        <f>'AMA e UBS Vila Sonia 1° SEM'!B10</f>
        <v>1052</v>
      </c>
      <c r="C97" s="583">
        <f>'AMA e UBS Vila Sonia 1° SEM'!C10</f>
        <v>852</v>
      </c>
      <c r="D97" s="539">
        <f>'AMA e UBS Vila Sonia 1° SEM'!D10</f>
        <v>-0.1901140684410646</v>
      </c>
      <c r="E97" s="523">
        <f>'AMA e UBS Vila Sonia 1° SEM'!E10</f>
        <v>1032</v>
      </c>
      <c r="F97" s="539">
        <f>'AMA e UBS Vila Sonia 1° SEM'!F10</f>
        <v>-1.9011406844106515E-2</v>
      </c>
      <c r="G97" s="523">
        <f>'AMA e UBS Vila Sonia 1° SEM'!G10</f>
        <v>1221</v>
      </c>
      <c r="H97" s="539">
        <f>'AMA e UBS Vila Sonia 1° SEM'!H10</f>
        <v>0.16064638783269958</v>
      </c>
      <c r="I97" s="518">
        <f>'AMA e UBS Vila Sonia 1° SEM'!I10</f>
        <v>3105</v>
      </c>
      <c r="J97" s="540">
        <f>'AMA e UBS Vila Sonia 1° SEM'!J10</f>
        <v>-1.6159695817490549E-2</v>
      </c>
      <c r="K97" s="523">
        <f>'AMA e UBS Vila Sonia 1° SEM'!K10</f>
        <v>887</v>
      </c>
      <c r="L97" s="539">
        <f>'AMA e UBS Vila Sonia 1° SEM'!L10</f>
        <v>-0.15684410646387836</v>
      </c>
      <c r="M97" s="523">
        <f>'AMA e UBS Vila Sonia 1° SEM'!M10</f>
        <v>1172</v>
      </c>
      <c r="N97" s="539">
        <f>'AMA e UBS Vila Sonia 1° SEM'!N10</f>
        <v>0.11406844106463887</v>
      </c>
      <c r="O97" s="523">
        <f>'AMA e UBS Vila Sonia 1° SEM'!O10</f>
        <v>929</v>
      </c>
      <c r="P97" s="539">
        <f>'AMA e UBS Vila Sonia 1° SEM'!P10</f>
        <v>-0.11692015209125473</v>
      </c>
      <c r="Q97" s="518">
        <f>'AMA e UBS Vila Sonia 1° SEM'!Q10</f>
        <v>2988</v>
      </c>
      <c r="R97" s="540">
        <f>'AMA e UBS Vila Sonia 1° SEM'!R10</f>
        <v>-5.323193916349811E-2</v>
      </c>
    </row>
    <row r="98" spans="1:18" x14ac:dyDescent="0.25">
      <c r="A98" s="584" t="str">
        <f>'AMA e UBS Vila Sonia 1° SEM'!A11</f>
        <v>Pediatra (consulta) UBS</v>
      </c>
      <c r="B98" s="585">
        <f>'AMA e UBS Vila Sonia 1° SEM'!B11</f>
        <v>789</v>
      </c>
      <c r="C98" s="586">
        <f>'AMA e UBS Vila Sonia 1° SEM'!C11</f>
        <v>717</v>
      </c>
      <c r="D98" s="545">
        <f>'AMA e UBS Vila Sonia 1° SEM'!D11</f>
        <v>-9.125475285171103E-2</v>
      </c>
      <c r="E98" s="523">
        <f>'AMA e UBS Vila Sonia 1° SEM'!E11</f>
        <v>742</v>
      </c>
      <c r="F98" s="545">
        <f>'AMA e UBS Vila Sonia 1° SEM'!F11</f>
        <v>-5.9569074778200282E-2</v>
      </c>
      <c r="G98" s="523">
        <f>'AMA e UBS Vila Sonia 1° SEM'!G11</f>
        <v>907</v>
      </c>
      <c r="H98" s="545">
        <f>'AMA e UBS Vila Sonia 1° SEM'!H11</f>
        <v>0.14955640050697094</v>
      </c>
      <c r="I98" s="518">
        <f>'AMA e UBS Vila Sonia 1° SEM'!I11</f>
        <v>2366</v>
      </c>
      <c r="J98" s="547">
        <f>'AMA e UBS Vila Sonia 1° SEM'!J11</f>
        <v>-4.2247570764686326E-4</v>
      </c>
      <c r="K98" s="523">
        <f>'AMA e UBS Vila Sonia 1° SEM'!K11</f>
        <v>606</v>
      </c>
      <c r="L98" s="545">
        <f>'AMA e UBS Vila Sonia 1° SEM'!L11</f>
        <v>-0.23193916349809884</v>
      </c>
      <c r="M98" s="523">
        <f>'AMA e UBS Vila Sonia 1° SEM'!M11</f>
        <v>811</v>
      </c>
      <c r="N98" s="545">
        <f>'AMA e UBS Vila Sonia 1° SEM'!N11</f>
        <v>2.7883396704689423E-2</v>
      </c>
      <c r="O98" s="523">
        <f>'AMA e UBS Vila Sonia 1° SEM'!O11</f>
        <v>716</v>
      </c>
      <c r="P98" s="545">
        <f>'AMA e UBS Vila Sonia 1° SEM'!P11</f>
        <v>-9.2522179974651508E-2</v>
      </c>
      <c r="Q98" s="518">
        <f>'AMA e UBS Vila Sonia 1° SEM'!Q11</f>
        <v>2133</v>
      </c>
      <c r="R98" s="547">
        <f>'AMA e UBS Vila Sonia 1° SEM'!R11</f>
        <v>-9.8859315589353569E-2</v>
      </c>
    </row>
    <row r="99" spans="1:18" ht="15.75" thickBot="1" x14ac:dyDescent="0.3">
      <c r="A99" s="587" t="str">
        <f>'AMA e UBS Vila Sonia 1° SEM'!A12</f>
        <v>Psiquiatra (consulta) UBS</v>
      </c>
      <c r="B99" s="588">
        <f>'AMA e UBS Vila Sonia 1° SEM'!B12</f>
        <v>332</v>
      </c>
      <c r="C99" s="589">
        <f>'AMA e UBS Vila Sonia 1° SEM'!C12</f>
        <v>238</v>
      </c>
      <c r="D99" s="590">
        <f>'AMA e UBS Vila Sonia 1° SEM'!D12</f>
        <v>-0.2831325301204819</v>
      </c>
      <c r="E99" s="591">
        <f>'AMA e UBS Vila Sonia 1° SEM'!E12</f>
        <v>204</v>
      </c>
      <c r="F99" s="590">
        <f>'AMA e UBS Vila Sonia 1° SEM'!F12</f>
        <v>-0.38554216867469882</v>
      </c>
      <c r="G99" s="591">
        <f>'AMA e UBS Vila Sonia 1° SEM'!G12</f>
        <v>171</v>
      </c>
      <c r="H99" s="590">
        <f>'AMA e UBS Vila Sonia 1° SEM'!H12</f>
        <v>-0.48493975903614461</v>
      </c>
      <c r="I99" s="546">
        <f>'AMA e UBS Vila Sonia 1° SEM'!I12</f>
        <v>613</v>
      </c>
      <c r="J99" s="592">
        <f>'AMA e UBS Vila Sonia 1° SEM'!J12</f>
        <v>-0.38453815261044177</v>
      </c>
      <c r="K99" s="591">
        <f>'AMA e UBS Vila Sonia 1° SEM'!K12</f>
        <v>238</v>
      </c>
      <c r="L99" s="590">
        <f>'AMA e UBS Vila Sonia 1° SEM'!L12</f>
        <v>-0.2831325301204819</v>
      </c>
      <c r="M99" s="591">
        <f>'AMA e UBS Vila Sonia 1° SEM'!M12</f>
        <v>287</v>
      </c>
      <c r="N99" s="590">
        <f>'AMA e UBS Vila Sonia 1° SEM'!N12</f>
        <v>-0.13554216867469882</v>
      </c>
      <c r="O99" s="591">
        <f>'AMA e UBS Vila Sonia 1° SEM'!O12</f>
        <v>260</v>
      </c>
      <c r="P99" s="590">
        <f>'AMA e UBS Vila Sonia 1° SEM'!P12</f>
        <v>-0.2168674698795181</v>
      </c>
      <c r="Q99" s="546">
        <f>'AMA e UBS Vila Sonia 1° SEM'!Q12</f>
        <v>785</v>
      </c>
      <c r="R99" s="592">
        <f>'AMA e UBS Vila Sonia 1° SEM'!R12</f>
        <v>-0.2118473895582329</v>
      </c>
    </row>
    <row r="100" spans="1:18" ht="15.75" thickBot="1" x14ac:dyDescent="0.3">
      <c r="A100" s="524" t="str">
        <f>'AMA e UBS Vila Sonia 1° SEM'!A13</f>
        <v>SOMA</v>
      </c>
      <c r="B100" s="525">
        <f>'AMA e UBS Vila Sonia 1° SEM'!B13</f>
        <v>6343</v>
      </c>
      <c r="C100" s="526">
        <f>'AMA e UBS Vila Sonia 1° SEM'!C13</f>
        <v>6938</v>
      </c>
      <c r="D100" s="527">
        <f>'AMA e UBS Vila Sonia 1° SEM'!D13</f>
        <v>9.3804193599243302E-2</v>
      </c>
      <c r="E100" s="526">
        <f>'AMA e UBS Vila Sonia 1° SEM'!E13</f>
        <v>6288</v>
      </c>
      <c r="F100" s="527">
        <f>'AMA e UBS Vila Sonia 1° SEM'!F13</f>
        <v>-8.6709758789216274E-3</v>
      </c>
      <c r="G100" s="526">
        <f>'AMA e UBS Vila Sonia 1° SEM'!G13</f>
        <v>7655</v>
      </c>
      <c r="H100" s="527">
        <f>'AMA e UBS Vila Sonia 1° SEM'!H13</f>
        <v>0.20684218823900369</v>
      </c>
      <c r="I100" s="529">
        <f>'AMA e UBS Vila Sonia 1° SEM'!I13</f>
        <v>20881</v>
      </c>
      <c r="J100" s="593">
        <f>'AMA e UBS Vila Sonia 1° SEM'!J13</f>
        <v>9.7325135319775047E-2</v>
      </c>
      <c r="K100" s="526">
        <f>'AMA e UBS Vila Sonia 1° SEM'!K13</f>
        <v>5825</v>
      </c>
      <c r="L100" s="527">
        <f>'AMA e UBS Vila Sonia 1° SEM'!L13</f>
        <v>-8.1664827368752912E-2</v>
      </c>
      <c r="M100" s="526">
        <f>'AMA e UBS Vila Sonia 1° SEM'!M13</f>
        <v>7776</v>
      </c>
      <c r="N100" s="527">
        <f>'AMA e UBS Vila Sonia 1° SEM'!N13</f>
        <v>0.22591833517263127</v>
      </c>
      <c r="O100" s="526">
        <f>'AMA e UBS Vila Sonia 1° SEM'!O13</f>
        <v>5716</v>
      </c>
      <c r="P100" s="527">
        <f>'AMA e UBS Vila Sonia 1° SEM'!P13</f>
        <v>-9.8849125019706774E-2</v>
      </c>
      <c r="Q100" s="529">
        <f>'AMA e UBS Vila Sonia 1° SEM'!Q13</f>
        <v>19317</v>
      </c>
      <c r="R100" s="593">
        <f>'AMA e UBS Vila Sonia 1° SEM'!R13</f>
        <v>1.5134794261390416E-2</v>
      </c>
    </row>
    <row r="102" spans="1:18" s="641" customFormat="1" ht="15.75" x14ac:dyDescent="0.25">
      <c r="A102" s="827" t="s">
        <v>355</v>
      </c>
      <c r="B102" s="828"/>
      <c r="C102" s="828"/>
      <c r="D102" s="828"/>
      <c r="E102" s="828"/>
      <c r="F102" s="828"/>
      <c r="G102" s="828"/>
      <c r="H102" s="828"/>
      <c r="I102" s="828"/>
      <c r="J102" s="828"/>
      <c r="K102" s="828"/>
      <c r="L102" s="828"/>
      <c r="M102" s="828"/>
      <c r="N102" s="828"/>
      <c r="O102" s="828"/>
      <c r="P102" s="828"/>
      <c r="Q102" s="828"/>
      <c r="R102" s="828"/>
    </row>
    <row r="103" spans="1:18" s="641" customFormat="1" ht="24" x14ac:dyDescent="0.25">
      <c r="A103" s="506" t="s">
        <v>8</v>
      </c>
      <c r="B103" s="640" t="s">
        <v>9</v>
      </c>
      <c r="C103" s="506" t="str">
        <f t="shared" ref="C103:R103" si="5">C32</f>
        <v>JAN</v>
      </c>
      <c r="D103" s="507" t="str">
        <f t="shared" si="5"/>
        <v>%</v>
      </c>
      <c r="E103" s="506" t="str">
        <f t="shared" si="5"/>
        <v>FEV</v>
      </c>
      <c r="F103" s="507" t="str">
        <f t="shared" si="5"/>
        <v>%</v>
      </c>
      <c r="G103" s="506" t="str">
        <f t="shared" si="5"/>
        <v>MAR</v>
      </c>
      <c r="H103" s="507" t="str">
        <f t="shared" si="5"/>
        <v>%</v>
      </c>
      <c r="I103" s="508" t="str">
        <f t="shared" si="5"/>
        <v>Trimestre</v>
      </c>
      <c r="J103" s="508" t="str">
        <f t="shared" si="5"/>
        <v>%</v>
      </c>
      <c r="K103" s="506" t="str">
        <f t="shared" si="5"/>
        <v>ABR</v>
      </c>
      <c r="L103" s="507" t="str">
        <f t="shared" si="5"/>
        <v>%</v>
      </c>
      <c r="M103" s="506" t="str">
        <f t="shared" si="5"/>
        <v>MAI</v>
      </c>
      <c r="N103" s="507" t="str">
        <f t="shared" si="5"/>
        <v>%</v>
      </c>
      <c r="O103" s="506" t="str">
        <f t="shared" si="5"/>
        <v>JUN</v>
      </c>
      <c r="P103" s="507" t="str">
        <f t="shared" si="5"/>
        <v>%</v>
      </c>
      <c r="Q103" s="508" t="str">
        <f t="shared" si="5"/>
        <v>Trimestre</v>
      </c>
      <c r="R103" s="508" t="str">
        <f t="shared" si="5"/>
        <v>%</v>
      </c>
    </row>
    <row r="104" spans="1:18" s="641" customFormat="1" x14ac:dyDescent="0.25">
      <c r="A104" s="509" t="str">
        <f>'AMA e UBS Vila Sonia 1° SEM'!A33</f>
        <v>Mamografia com Laudo</v>
      </c>
      <c r="B104" s="500">
        <f>'AMA e UBS Vila Sonia 1° SEM'!B33</f>
        <v>568</v>
      </c>
      <c r="C104" s="495">
        <f>'AMA e UBS Vila Sonia 1° SEM'!C33</f>
        <v>0</v>
      </c>
      <c r="D104" s="496">
        <f>'AMA e UBS Vila Sonia 1° SEM'!D33</f>
        <v>-1</v>
      </c>
      <c r="E104" s="495">
        <f>'AMA e UBS Vila Sonia 1° SEM'!E33</f>
        <v>0</v>
      </c>
      <c r="F104" s="496">
        <f>'AMA e UBS Vila Sonia 1° SEM'!F33</f>
        <v>-1</v>
      </c>
      <c r="G104" s="495">
        <f>'AMA e UBS Vila Sonia 1° SEM'!G33</f>
        <v>0</v>
      </c>
      <c r="H104" s="496">
        <f>'AMA e UBS Vila Sonia 1° SEM'!H33</f>
        <v>-1</v>
      </c>
      <c r="I104" s="497">
        <f>'AMA e UBS Vila Sonia 1° SEM'!I33</f>
        <v>0</v>
      </c>
      <c r="J104" s="498">
        <f>'AMA e UBS Vila Sonia 1° SEM'!J33</f>
        <v>-1</v>
      </c>
      <c r="K104" s="495">
        <f>'AMA e UBS Vila Sonia 1° SEM'!K33</f>
        <v>0</v>
      </c>
      <c r="L104" s="496">
        <f>'AMA e UBS Vila Sonia 1° SEM'!L33</f>
        <v>-1</v>
      </c>
      <c r="M104" s="495">
        <f>'AMA e UBS Vila Sonia 1° SEM'!M33</f>
        <v>0</v>
      </c>
      <c r="N104" s="496">
        <f>'AMA e UBS Vila Sonia 1° SEM'!N33</f>
        <v>-1</v>
      </c>
      <c r="O104" s="495">
        <f>'AMA e UBS Vila Sonia 1° SEM'!O33</f>
        <v>0</v>
      </c>
      <c r="P104" s="496">
        <f>'AMA e UBS Vila Sonia 1° SEM'!P33</f>
        <v>-1</v>
      </c>
      <c r="Q104" s="497">
        <f>'AMA e UBS Vila Sonia 1° SEM'!Q33</f>
        <v>0</v>
      </c>
      <c r="R104" s="498">
        <f>'AMA e UBS Vila Sonia 1° SEM'!R33</f>
        <v>-1</v>
      </c>
    </row>
    <row r="105" spans="1:18" s="641" customFormat="1" x14ac:dyDescent="0.25">
      <c r="A105" s="509" t="str">
        <f>'AMA e UBS Vila Sonia 1° SEM'!A34</f>
        <v>Ultrassom Geral com Laudo</v>
      </c>
      <c r="B105" s="500">
        <f>'AMA e UBS Vila Sonia 1° SEM'!B34</f>
        <v>660</v>
      </c>
      <c r="C105" s="495">
        <f>'AMA e UBS Vila Sonia 1° SEM'!C34</f>
        <v>348</v>
      </c>
      <c r="D105" s="496">
        <f>'AMA e UBS Vila Sonia 1° SEM'!D34</f>
        <v>-0.47272727272727277</v>
      </c>
      <c r="E105" s="495">
        <f>'AMA e UBS Vila Sonia 1° SEM'!E34</f>
        <v>238</v>
      </c>
      <c r="F105" s="496">
        <f>'AMA e UBS Vila Sonia 1° SEM'!F34</f>
        <v>-0.6393939393939394</v>
      </c>
      <c r="G105" s="495">
        <f>'AMA e UBS Vila Sonia 1° SEM'!G34</f>
        <v>396</v>
      </c>
      <c r="H105" s="496">
        <f>'AMA e UBS Vila Sonia 1° SEM'!H34</f>
        <v>-0.4</v>
      </c>
      <c r="I105" s="497">
        <f>'AMA e UBS Vila Sonia 1° SEM'!I34</f>
        <v>982</v>
      </c>
      <c r="J105" s="498">
        <f>'AMA e UBS Vila Sonia 1° SEM'!J34</f>
        <v>-0.50404040404040407</v>
      </c>
      <c r="K105" s="495">
        <f>'AMA e UBS Vila Sonia 1° SEM'!K34</f>
        <v>350</v>
      </c>
      <c r="L105" s="496">
        <f>'AMA e UBS Vila Sonia 1° SEM'!L34</f>
        <v>-0.46969696969696972</v>
      </c>
      <c r="M105" s="495">
        <f>'AMA e UBS Vila Sonia 1° SEM'!M34</f>
        <v>341</v>
      </c>
      <c r="N105" s="496">
        <f>'AMA e UBS Vila Sonia 1° SEM'!N34</f>
        <v>-0.48333333333333328</v>
      </c>
      <c r="O105" s="495">
        <f>'AMA e UBS Vila Sonia 1° SEM'!O34</f>
        <v>321</v>
      </c>
      <c r="P105" s="496">
        <f>'AMA e UBS Vila Sonia 1° SEM'!P34</f>
        <v>-0.51363636363636367</v>
      </c>
      <c r="Q105" s="497">
        <f>'AMA e UBS Vila Sonia 1° SEM'!Q34</f>
        <v>1012</v>
      </c>
      <c r="R105" s="498">
        <f>'AMA e UBS Vila Sonia 1° SEM'!R34</f>
        <v>-0.48888888888888893</v>
      </c>
    </row>
    <row r="106" spans="1:18" s="641" customFormat="1" x14ac:dyDescent="0.25">
      <c r="A106" s="510" t="str">
        <f>'AMA e UBS Vila Sonia 1° SEM'!A35</f>
        <v>SOMA</v>
      </c>
      <c r="B106" s="500">
        <f>'AMA e UBS Vila Sonia 1° SEM'!B35</f>
        <v>1228</v>
      </c>
      <c r="C106" s="504">
        <f>'AMA e UBS Vila Sonia 1° SEM'!C35</f>
        <v>348</v>
      </c>
      <c r="D106" s="496">
        <f>'AMA e UBS Vila Sonia 1° SEM'!D35</f>
        <v>-0.71661237785016285</v>
      </c>
      <c r="E106" s="504">
        <f>'AMA e UBS Vila Sonia 1° SEM'!E35</f>
        <v>238</v>
      </c>
      <c r="F106" s="496">
        <f>'AMA e UBS Vila Sonia 1° SEM'!F35</f>
        <v>-0.80618892508143325</v>
      </c>
      <c r="G106" s="504">
        <f>'AMA e UBS Vila Sonia 1° SEM'!G35</f>
        <v>396</v>
      </c>
      <c r="H106" s="496">
        <f>'AMA e UBS Vila Sonia 1° SEM'!H35</f>
        <v>-0.67752442996742679</v>
      </c>
      <c r="I106" s="497">
        <f>'AMA e UBS Vila Sonia 1° SEM'!I35</f>
        <v>982</v>
      </c>
      <c r="J106" s="498">
        <f>'AMA e UBS Vila Sonia 1° SEM'!J35</f>
        <v>-0.73344191096634093</v>
      </c>
      <c r="K106" s="504">
        <f>'AMA e UBS Vila Sonia 1° SEM'!K35</f>
        <v>350</v>
      </c>
      <c r="L106" s="496">
        <f>'AMA e UBS Vila Sonia 1° SEM'!L35</f>
        <v>-0.71498371335504884</v>
      </c>
      <c r="M106" s="504">
        <f>'AMA e UBS Vila Sonia 1° SEM'!M35</f>
        <v>341</v>
      </c>
      <c r="N106" s="496">
        <f>'AMA e UBS Vila Sonia 1° SEM'!N35</f>
        <v>-0.72231270358306188</v>
      </c>
      <c r="O106" s="504">
        <f>'AMA e UBS Vila Sonia 1° SEM'!O35</f>
        <v>321</v>
      </c>
      <c r="P106" s="496">
        <f>'AMA e UBS Vila Sonia 1° SEM'!P35</f>
        <v>-0.73859934853420195</v>
      </c>
      <c r="Q106" s="497">
        <f>'AMA e UBS Vila Sonia 1° SEM'!Q35</f>
        <v>1012</v>
      </c>
      <c r="R106" s="498">
        <f>'AMA e UBS Vila Sonia 1° SEM'!R35</f>
        <v>-0.72529858849077089</v>
      </c>
    </row>
    <row r="107" spans="1:18" s="641" customFormat="1" x14ac:dyDescent="0.25">
      <c r="C107" s="707"/>
    </row>
    <row r="108" spans="1:18" ht="15.75" x14ac:dyDescent="0.25">
      <c r="A108" s="827" t="s">
        <v>357</v>
      </c>
      <c r="B108" s="828"/>
      <c r="C108" s="828"/>
      <c r="D108" s="828"/>
      <c r="E108" s="828"/>
      <c r="F108" s="828"/>
      <c r="G108" s="828"/>
      <c r="H108" s="828"/>
      <c r="I108" s="828"/>
      <c r="J108" s="828"/>
      <c r="K108" s="828"/>
      <c r="L108" s="828"/>
      <c r="M108" s="828"/>
      <c r="N108" s="828"/>
      <c r="O108" s="828"/>
      <c r="P108" s="828"/>
      <c r="Q108" s="828"/>
      <c r="R108" s="828"/>
    </row>
    <row r="109" spans="1:18" ht="24.75" thickBot="1" x14ac:dyDescent="0.3">
      <c r="A109" s="594" t="s">
        <v>8</v>
      </c>
      <c r="B109" s="595" t="s">
        <v>9</v>
      </c>
      <c r="C109" s="535" t="str">
        <f t="shared" ref="C109:R109" si="6">C32</f>
        <v>JAN</v>
      </c>
      <c r="D109" s="536" t="str">
        <f t="shared" si="6"/>
        <v>%</v>
      </c>
      <c r="E109" s="535" t="str">
        <f t="shared" si="6"/>
        <v>FEV</v>
      </c>
      <c r="F109" s="536" t="str">
        <f t="shared" si="6"/>
        <v>%</v>
      </c>
      <c r="G109" s="535" t="str">
        <f t="shared" si="6"/>
        <v>MAR</v>
      </c>
      <c r="H109" s="536" t="str">
        <f t="shared" si="6"/>
        <v>%</v>
      </c>
      <c r="I109" s="537" t="str">
        <f t="shared" si="6"/>
        <v>Trimestre</v>
      </c>
      <c r="J109" s="537" t="str">
        <f t="shared" si="6"/>
        <v>%</v>
      </c>
      <c r="K109" s="535" t="str">
        <f t="shared" si="6"/>
        <v>ABR</v>
      </c>
      <c r="L109" s="536" t="str">
        <f t="shared" si="6"/>
        <v>%</v>
      </c>
      <c r="M109" s="535" t="str">
        <f t="shared" si="6"/>
        <v>MAI</v>
      </c>
      <c r="N109" s="536" t="str">
        <f t="shared" si="6"/>
        <v>%</v>
      </c>
      <c r="O109" s="535" t="str">
        <f t="shared" si="6"/>
        <v>JUN</v>
      </c>
      <c r="P109" s="536" t="str">
        <f t="shared" si="6"/>
        <v>%</v>
      </c>
      <c r="Q109" s="537" t="str">
        <f t="shared" si="6"/>
        <v>Trimestre</v>
      </c>
      <c r="R109" s="537" t="str">
        <f t="shared" si="6"/>
        <v>%</v>
      </c>
    </row>
    <row r="110" spans="1:18" ht="15.75" thickTop="1" x14ac:dyDescent="0.25">
      <c r="A110" s="596" t="str">
        <f>'AMA_ UBS e NASF Paulo VI 1° SEM'!A7</f>
        <v>ACS</v>
      </c>
      <c r="B110" s="513">
        <f>'AMA_ UBS e NASF Paulo VI 1° SEM'!B7</f>
        <v>7200</v>
      </c>
      <c r="C110" s="514">
        <f>'AMA_ UBS e NASF Paulo VI 1° SEM'!C7</f>
        <v>5928</v>
      </c>
      <c r="D110" s="539">
        <f>'AMA_ UBS e NASF Paulo VI 1° SEM'!D7</f>
        <v>-0.17666666666666664</v>
      </c>
      <c r="E110" s="516">
        <f>'AMA_ UBS e NASF Paulo VI 1° SEM'!E7</f>
        <v>6063</v>
      </c>
      <c r="F110" s="539">
        <f>'AMA_ UBS e NASF Paulo VI 1° SEM'!F7</f>
        <v>-0.15791666666666671</v>
      </c>
      <c r="G110" s="516">
        <f>'AMA_ UBS e NASF Paulo VI 1° SEM'!G7</f>
        <v>6294</v>
      </c>
      <c r="H110" s="539">
        <f>'AMA_ UBS e NASF Paulo VI 1° SEM'!H7</f>
        <v>-0.12583333333333335</v>
      </c>
      <c r="I110" s="518">
        <f>'AMA_ UBS e NASF Paulo VI 1° SEM'!I7</f>
        <v>18285</v>
      </c>
      <c r="J110" s="540">
        <f>'AMA_ UBS e NASF Paulo VI 1° SEM'!J7</f>
        <v>-0.15347222222222223</v>
      </c>
      <c r="K110" s="516">
        <f>'AMA_ UBS e NASF Paulo VI 1° SEM'!K7</f>
        <v>6140</v>
      </c>
      <c r="L110" s="539">
        <f>'AMA_ UBS e NASF Paulo VI 1° SEM'!L7</f>
        <v>-0.14722222222222225</v>
      </c>
      <c r="M110" s="516">
        <f>'AMA_ UBS e NASF Paulo VI 1° SEM'!M7</f>
        <v>6689</v>
      </c>
      <c r="N110" s="539">
        <f>'AMA_ UBS e NASF Paulo VI 1° SEM'!N7</f>
        <v>-7.0972222222222214E-2</v>
      </c>
      <c r="O110" s="516">
        <f>'AMA_ UBS e NASF Paulo VI 1° SEM'!O7</f>
        <v>6196</v>
      </c>
      <c r="P110" s="539">
        <f>'AMA_ UBS e NASF Paulo VI 1° SEM'!P7</f>
        <v>-0.13944444444444448</v>
      </c>
      <c r="Q110" s="518">
        <f>'AMA_ UBS e NASF Paulo VI 1° SEM'!Q7</f>
        <v>19025</v>
      </c>
      <c r="R110" s="540">
        <f>'AMA_ UBS e NASF Paulo VI 1° SEM'!R7</f>
        <v>-0.11921296296296291</v>
      </c>
    </row>
    <row r="111" spans="1:18" x14ac:dyDescent="0.25">
      <c r="A111" s="596" t="str">
        <f>'AMA_ UBS e NASF Paulo VI 1° SEM'!A8</f>
        <v>Médico Generalista</v>
      </c>
      <c r="B111" s="597">
        <f>'AMA_ UBS e NASF Paulo VI 1° SEM'!B8</f>
        <v>2496</v>
      </c>
      <c r="C111" s="598">
        <f>'AMA_ UBS e NASF Paulo VI 1° SEM'!C8</f>
        <v>1724</v>
      </c>
      <c r="D111" s="539">
        <f>'AMA_ UBS e NASF Paulo VI 1° SEM'!D8</f>
        <v>-0.30929487179487181</v>
      </c>
      <c r="E111" s="523">
        <f>'AMA_ UBS e NASF Paulo VI 1° SEM'!E8</f>
        <v>1686</v>
      </c>
      <c r="F111" s="539">
        <f>'AMA_ UBS e NASF Paulo VI 1° SEM'!F8</f>
        <v>-0.32451923076923073</v>
      </c>
      <c r="G111" s="523">
        <f>'AMA_ UBS e NASF Paulo VI 1° SEM'!G8</f>
        <v>2273</v>
      </c>
      <c r="H111" s="539">
        <f>'AMA_ UBS e NASF Paulo VI 1° SEM'!H8</f>
        <v>-8.9342948717948678E-2</v>
      </c>
      <c r="I111" s="518">
        <f>'AMA_ UBS e NASF Paulo VI 1° SEM'!I8</f>
        <v>5683</v>
      </c>
      <c r="J111" s="540">
        <f>'AMA_ UBS e NASF Paulo VI 1° SEM'!J8</f>
        <v>-0.2410523504273504</v>
      </c>
      <c r="K111" s="523">
        <f>'AMA_ UBS e NASF Paulo VI 1° SEM'!K8</f>
        <v>1755</v>
      </c>
      <c r="L111" s="539">
        <f>'AMA_ UBS e NASF Paulo VI 1° SEM'!L8</f>
        <v>-0.296875</v>
      </c>
      <c r="M111" s="523">
        <f>'AMA_ UBS e NASF Paulo VI 1° SEM'!M8</f>
        <v>1549</v>
      </c>
      <c r="N111" s="539">
        <f>'AMA_ UBS e NASF Paulo VI 1° SEM'!N8</f>
        <v>-0.37940705128205132</v>
      </c>
      <c r="O111" s="523">
        <f>'AMA_ UBS e NASF Paulo VI 1° SEM'!O8</f>
        <v>1675</v>
      </c>
      <c r="P111" s="539">
        <f>'AMA_ UBS e NASF Paulo VI 1° SEM'!P8</f>
        <v>-0.32892628205128205</v>
      </c>
      <c r="Q111" s="518">
        <f>'AMA_ UBS e NASF Paulo VI 1° SEM'!Q8</f>
        <v>4979</v>
      </c>
      <c r="R111" s="540">
        <f>'AMA_ UBS e NASF Paulo VI 1° SEM'!R8</f>
        <v>-0.33506944444444442</v>
      </c>
    </row>
    <row r="112" spans="1:18" x14ac:dyDescent="0.25">
      <c r="A112" s="596" t="str">
        <f>'AMA_ UBS e NASF Paulo VI 1° SEM'!A9</f>
        <v>Enfermeiro  - ESF</v>
      </c>
      <c r="B112" s="597">
        <f>'AMA_ UBS e NASF Paulo VI 1° SEM'!B9</f>
        <v>936</v>
      </c>
      <c r="C112" s="598">
        <f>'AMA_ UBS e NASF Paulo VI 1° SEM'!C9</f>
        <v>1643</v>
      </c>
      <c r="D112" s="539">
        <f>'AMA_ UBS e NASF Paulo VI 1° SEM'!D9</f>
        <v>0.75534188034188032</v>
      </c>
      <c r="E112" s="523">
        <f>'AMA_ UBS e NASF Paulo VI 1° SEM'!E9</f>
        <v>1482</v>
      </c>
      <c r="F112" s="539">
        <f>'AMA_ UBS e NASF Paulo VI 1° SEM'!F9</f>
        <v>0.58333333333333326</v>
      </c>
      <c r="G112" s="523">
        <f>'AMA_ UBS e NASF Paulo VI 1° SEM'!G9</f>
        <v>1606</v>
      </c>
      <c r="H112" s="539">
        <f>'AMA_ UBS e NASF Paulo VI 1° SEM'!H9</f>
        <v>0.71581196581196571</v>
      </c>
      <c r="I112" s="518">
        <f>'AMA_ UBS e NASF Paulo VI 1° SEM'!I9</f>
        <v>4731</v>
      </c>
      <c r="J112" s="540">
        <f>'AMA_ UBS e NASF Paulo VI 1° SEM'!J9</f>
        <v>0.68482905982905984</v>
      </c>
      <c r="K112" s="523">
        <f>'AMA_ UBS e NASF Paulo VI 1° SEM'!K9</f>
        <v>1348</v>
      </c>
      <c r="L112" s="539">
        <f>'AMA_ UBS e NASF Paulo VI 1° SEM'!L9</f>
        <v>0.44017094017094016</v>
      </c>
      <c r="M112" s="523">
        <f>'AMA_ UBS e NASF Paulo VI 1° SEM'!M9</f>
        <v>1165</v>
      </c>
      <c r="N112" s="539">
        <f>'AMA_ UBS e NASF Paulo VI 1° SEM'!N9</f>
        <v>0.24465811965811968</v>
      </c>
      <c r="O112" s="523">
        <f>'AMA_ UBS e NASF Paulo VI 1° SEM'!O9</f>
        <v>1283</v>
      </c>
      <c r="P112" s="539">
        <f>'AMA_ UBS e NASF Paulo VI 1° SEM'!P9</f>
        <v>0.37072649572649574</v>
      </c>
      <c r="Q112" s="518">
        <f>'AMA_ UBS e NASF Paulo VI 1° SEM'!Q9</f>
        <v>3796</v>
      </c>
      <c r="R112" s="540">
        <f>'AMA_ UBS e NASF Paulo VI 1° SEM'!R9</f>
        <v>0.35185185185185186</v>
      </c>
    </row>
    <row r="113" spans="1:18" x14ac:dyDescent="0.25">
      <c r="A113" s="599" t="str">
        <f>'AMA_ UBS e NASF Paulo VI 1° SEM'!A10</f>
        <v>Clínico</v>
      </c>
      <c r="B113" s="543">
        <f>'AMA_ UBS e NASF Paulo VI 1° SEM'!B10</f>
        <v>526</v>
      </c>
      <c r="C113" s="544">
        <f>'AMA_ UBS e NASF Paulo VI 1° SEM'!C10</f>
        <v>611</v>
      </c>
      <c r="D113" s="545">
        <f>'AMA_ UBS e NASF Paulo VI 1° SEM'!D10</f>
        <v>0.16159695817490505</v>
      </c>
      <c r="E113" s="544">
        <f>'AMA_ UBS e NASF Paulo VI 1° SEM'!E10</f>
        <v>480</v>
      </c>
      <c r="F113" s="545">
        <f>'AMA_ UBS e NASF Paulo VI 1° SEM'!F10</f>
        <v>-8.7452471482889704E-2</v>
      </c>
      <c r="G113" s="544">
        <f>'AMA_ UBS e NASF Paulo VI 1° SEM'!G10</f>
        <v>360</v>
      </c>
      <c r="H113" s="545">
        <f>'AMA_ UBS e NASF Paulo VI 1° SEM'!H10</f>
        <v>-0.31558935361216733</v>
      </c>
      <c r="I113" s="546">
        <f>'AMA_ UBS e NASF Paulo VI 1° SEM'!I10</f>
        <v>1451</v>
      </c>
      <c r="J113" s="547">
        <f>'AMA_ UBS e NASF Paulo VI 1° SEM'!J10</f>
        <v>-8.0481622306717404E-2</v>
      </c>
      <c r="K113" s="544">
        <f>'AMA_ UBS e NASF Paulo VI 1° SEM'!K10</f>
        <v>638</v>
      </c>
      <c r="L113" s="545">
        <f>'AMA_ UBS e NASF Paulo VI 1° SEM'!L10</f>
        <v>0.21292775665399244</v>
      </c>
      <c r="M113" s="544">
        <f>'AMA_ UBS e NASF Paulo VI 1° SEM'!M10</f>
        <v>658</v>
      </c>
      <c r="N113" s="545">
        <f>'AMA_ UBS e NASF Paulo VI 1° SEM'!N10</f>
        <v>0.25095057034220525</v>
      </c>
      <c r="O113" s="544">
        <f>'AMA_ UBS e NASF Paulo VI 1° SEM'!O10</f>
        <v>578</v>
      </c>
      <c r="P113" s="545">
        <f>'AMA_ UBS e NASF Paulo VI 1° SEM'!P10</f>
        <v>9.8859315589353569E-2</v>
      </c>
      <c r="Q113" s="546">
        <f>'AMA_ UBS e NASF Paulo VI 1° SEM'!Q10</f>
        <v>1874</v>
      </c>
      <c r="R113" s="547">
        <f>'AMA_ UBS e NASF Paulo VI 1° SEM'!R10</f>
        <v>0.18757921419518375</v>
      </c>
    </row>
    <row r="114" spans="1:18" x14ac:dyDescent="0.25">
      <c r="A114" s="509" t="str">
        <f>'AMA_ UBS e NASF Paulo VI 1° SEM'!A11</f>
        <v>Pediatra</v>
      </c>
      <c r="B114" s="494">
        <f>'AMA_ UBS e NASF Paulo VI 1° SEM'!B11</f>
        <v>789</v>
      </c>
      <c r="C114" s="495">
        <f>'AMA_ UBS e NASF Paulo VI 1° SEM'!C11</f>
        <v>195</v>
      </c>
      <c r="D114" s="496">
        <f>'AMA_ UBS e NASF Paulo VI 1° SEM'!D11</f>
        <v>-0.75285171102661597</v>
      </c>
      <c r="E114" s="495">
        <f>'AMA_ UBS e NASF Paulo VI 1° SEM'!E11</f>
        <v>261</v>
      </c>
      <c r="F114" s="496">
        <f>'AMA_ UBS e NASF Paulo VI 1° SEM'!F11</f>
        <v>-0.66920152091254748</v>
      </c>
      <c r="G114" s="495">
        <f>'AMA_ UBS e NASF Paulo VI 1° SEM'!G11</f>
        <v>440</v>
      </c>
      <c r="H114" s="496">
        <f>'AMA_ UBS e NASF Paulo VI 1° SEM'!H11</f>
        <v>-0.44233206590621044</v>
      </c>
      <c r="I114" s="497">
        <f>'AMA_ UBS e NASF Paulo VI 1° SEM'!I11</f>
        <v>896</v>
      </c>
      <c r="J114" s="498">
        <f>'AMA_ UBS e NASF Paulo VI 1° SEM'!J11</f>
        <v>-0.62146176594845803</v>
      </c>
      <c r="K114" s="495">
        <f>'AMA_ UBS e NASF Paulo VI 1° SEM'!K11</f>
        <v>429</v>
      </c>
      <c r="L114" s="496">
        <f>'AMA_ UBS e NASF Paulo VI 1° SEM'!L11</f>
        <v>-0.45627376425855515</v>
      </c>
      <c r="M114" s="495">
        <f>'AMA_ UBS e NASF Paulo VI 1° SEM'!M11</f>
        <v>526</v>
      </c>
      <c r="N114" s="496">
        <f>'AMA_ UBS e NASF Paulo VI 1° SEM'!N11</f>
        <v>-0.33333333333333337</v>
      </c>
      <c r="O114" s="495">
        <f>'AMA_ UBS e NASF Paulo VI 1° SEM'!O11</f>
        <v>419</v>
      </c>
      <c r="P114" s="496">
        <f>'AMA_ UBS e NASF Paulo VI 1° SEM'!P11</f>
        <v>-0.46894803548795949</v>
      </c>
      <c r="Q114" s="497">
        <f>'AMA_ UBS e NASF Paulo VI 1° SEM'!Q11</f>
        <v>1374</v>
      </c>
      <c r="R114" s="498">
        <f>'AMA_ UBS e NASF Paulo VI 1° SEM'!R11</f>
        <v>-0.4195183776932826</v>
      </c>
    </row>
    <row r="115" spans="1:18" x14ac:dyDescent="0.25">
      <c r="A115" s="509" t="str">
        <f>'AMA_ UBS e NASF Paulo VI 1° SEM'!A12</f>
        <v>Tocoginecologista</v>
      </c>
      <c r="B115" s="494">
        <f>'AMA_ UBS e NASF Paulo VI 1° SEM'!B12</f>
        <v>789</v>
      </c>
      <c r="C115" s="495">
        <f>'AMA_ UBS e NASF Paulo VI 1° SEM'!C12</f>
        <v>223</v>
      </c>
      <c r="D115" s="496">
        <f>'AMA_ UBS e NASF Paulo VI 1° SEM'!D12</f>
        <v>-0.71736375158428389</v>
      </c>
      <c r="E115" s="495">
        <f>'AMA_ UBS e NASF Paulo VI 1° SEM'!E12</f>
        <v>238</v>
      </c>
      <c r="F115" s="496">
        <f>'AMA_ UBS e NASF Paulo VI 1° SEM'!F12</f>
        <v>-0.69835234474017738</v>
      </c>
      <c r="G115" s="495">
        <f>'AMA_ UBS e NASF Paulo VI 1° SEM'!G12</f>
        <v>229</v>
      </c>
      <c r="H115" s="496">
        <f>'AMA_ UBS e NASF Paulo VI 1° SEM'!H12</f>
        <v>-0.70975918884664124</v>
      </c>
      <c r="I115" s="497">
        <f>'AMA_ UBS e NASF Paulo VI 1° SEM'!I12</f>
        <v>690</v>
      </c>
      <c r="J115" s="498">
        <f>'AMA_ UBS e NASF Paulo VI 1° SEM'!J12</f>
        <v>-0.70849176172370087</v>
      </c>
      <c r="K115" s="495">
        <f>'AMA_ UBS e NASF Paulo VI 1° SEM'!K12</f>
        <v>219</v>
      </c>
      <c r="L115" s="496">
        <f>'AMA_ UBS e NASF Paulo VI 1° SEM'!L12</f>
        <v>-0.72243346007604559</v>
      </c>
      <c r="M115" s="495">
        <f>'AMA_ UBS e NASF Paulo VI 1° SEM'!M12</f>
        <v>325</v>
      </c>
      <c r="N115" s="496">
        <f>'AMA_ UBS e NASF Paulo VI 1° SEM'!N12</f>
        <v>-0.58808618504435994</v>
      </c>
      <c r="O115" s="495">
        <f>'AMA_ UBS e NASF Paulo VI 1° SEM'!O12</f>
        <v>385</v>
      </c>
      <c r="P115" s="496">
        <f>'AMA_ UBS e NASF Paulo VI 1° SEM'!P12</f>
        <v>-0.5120405576679341</v>
      </c>
      <c r="Q115" s="497">
        <f>'AMA_ UBS e NASF Paulo VI 1° SEM'!Q12</f>
        <v>929</v>
      </c>
      <c r="R115" s="498">
        <f>'AMA_ UBS e NASF Paulo VI 1° SEM'!R12</f>
        <v>-0.60752006759611321</v>
      </c>
    </row>
    <row r="116" spans="1:18" ht="26.25" customHeight="1" x14ac:dyDescent="0.25">
      <c r="A116" s="493" t="str">
        <f>'AMA_ UBS e NASF Paulo VI 1° SEM'!A13</f>
        <v>Cirurgião Dentista (atendimento individual) II -  UBS</v>
      </c>
      <c r="B116" s="600">
        <f>'AMA_ UBS e NASF Paulo VI 1° SEM'!B13</f>
        <v>216</v>
      </c>
      <c r="C116" s="495">
        <f>'AMA_ UBS e NASF Paulo VI 1° SEM'!C13</f>
        <v>180</v>
      </c>
      <c r="D116" s="531">
        <f>'AMA_ UBS e NASF Paulo VI 1° SEM'!D13</f>
        <v>-0.16666666666666663</v>
      </c>
      <c r="E116" s="495">
        <f>'AMA_ UBS e NASF Paulo VI 1° SEM'!E13</f>
        <v>327</v>
      </c>
      <c r="F116" s="531">
        <f>'AMA_ UBS e NASF Paulo VI 1° SEM'!F13</f>
        <v>0.51388888888888884</v>
      </c>
      <c r="G116" s="495">
        <f>'AMA_ UBS e NASF Paulo VI 1° SEM'!G13</f>
        <v>370</v>
      </c>
      <c r="H116" s="601">
        <f>'AMA_ UBS e NASF Paulo VI 1° SEM'!H13</f>
        <v>0.71296296296296302</v>
      </c>
      <c r="I116" s="497">
        <f>'AMA_ UBS e NASF Paulo VI 1° SEM'!I13</f>
        <v>877</v>
      </c>
      <c r="J116" s="532">
        <f>'AMA_ UBS e NASF Paulo VI 1° SEM'!J13</f>
        <v>0.35339506172839497</v>
      </c>
      <c r="K116" s="495">
        <f>'AMA_ UBS e NASF Paulo VI 1° SEM'!K13</f>
        <v>175</v>
      </c>
      <c r="L116" s="531">
        <f>'AMA_ UBS e NASF Paulo VI 1° SEM'!L13</f>
        <v>-0.18981481481481477</v>
      </c>
      <c r="M116" s="495">
        <f>'AMA_ UBS e NASF Paulo VI 1° SEM'!M13</f>
        <v>236</v>
      </c>
      <c r="N116" s="531">
        <f>'AMA_ UBS e NASF Paulo VI 1° SEM'!N13</f>
        <v>9.259259259259256E-2</v>
      </c>
      <c r="O116" s="495">
        <f>'AMA_ UBS e NASF Paulo VI 1° SEM'!O13</f>
        <v>250</v>
      </c>
      <c r="P116" s="601">
        <f>'AMA_ UBS e NASF Paulo VI 1° SEM'!P13</f>
        <v>0.15740740740740744</v>
      </c>
      <c r="Q116" s="497">
        <f>'AMA_ UBS e NASF Paulo VI 1° SEM'!Q13</f>
        <v>661</v>
      </c>
      <c r="R116" s="532">
        <f>'AMA_ UBS e NASF Paulo VI 1° SEM'!R13</f>
        <v>2.0061728395061706E-2</v>
      </c>
    </row>
    <row r="117" spans="1:18" ht="24.75" thickBot="1" x14ac:dyDescent="0.3">
      <c r="A117" s="700" t="str">
        <f>'AMA_ UBS e NASF Paulo VI 1° SEM'!A14</f>
        <v>Cirurgião Dentista (procedimento) UBS</v>
      </c>
      <c r="B117" s="602">
        <f>'AMA_ UBS e NASF Paulo VI 1° SEM'!B14</f>
        <v>756</v>
      </c>
      <c r="C117" s="562">
        <f>'AMA_ UBS e NASF Paulo VI 1° SEM'!C14</f>
        <v>592</v>
      </c>
      <c r="D117" s="551">
        <f>'AMA_ UBS e NASF Paulo VI 1° SEM'!D14</f>
        <v>-0.21693121693121697</v>
      </c>
      <c r="E117" s="562">
        <f>'AMA_ UBS e NASF Paulo VI 1° SEM'!E14</f>
        <v>756</v>
      </c>
      <c r="F117" s="603">
        <f>'AMA_ UBS e NASF Paulo VI 1° SEM'!F14</f>
        <v>0</v>
      </c>
      <c r="G117" s="562">
        <f>'AMA_ UBS e NASF Paulo VI 1° SEM'!G14</f>
        <v>1008</v>
      </c>
      <c r="H117" s="604">
        <f>'AMA_ UBS e NASF Paulo VI 1° SEM'!H14</f>
        <v>0.33333333333333326</v>
      </c>
      <c r="I117" s="552">
        <f>'AMA_ UBS e NASF Paulo VI 1° SEM'!I14</f>
        <v>2356</v>
      </c>
      <c r="J117" s="605">
        <f>'AMA_ UBS e NASF Paulo VI 1° SEM'!J14</f>
        <v>3.8800705467372243E-2</v>
      </c>
      <c r="K117" s="562">
        <f>'AMA_ UBS e NASF Paulo VI 1° SEM'!K14</f>
        <v>896</v>
      </c>
      <c r="L117" s="603">
        <f>'AMA_ UBS e NASF Paulo VI 1° SEM'!L14</f>
        <v>0.18518518518518512</v>
      </c>
      <c r="M117" s="562">
        <f>'AMA_ UBS e NASF Paulo VI 1° SEM'!M14</f>
        <v>1409</v>
      </c>
      <c r="N117" s="603">
        <f>'AMA_ UBS e NASF Paulo VI 1° SEM'!N14</f>
        <v>0.86375661375661372</v>
      </c>
      <c r="O117" s="562">
        <f>'AMA_ UBS e NASF Paulo VI 1° SEM'!O14</f>
        <v>875</v>
      </c>
      <c r="P117" s="604">
        <f>'AMA_ UBS e NASF Paulo VI 1° SEM'!P14</f>
        <v>0.15740740740740744</v>
      </c>
      <c r="Q117" s="552">
        <f>'AMA_ UBS e NASF Paulo VI 1° SEM'!Q14</f>
        <v>3180</v>
      </c>
      <c r="R117" s="605">
        <f>'AMA_ UBS e NASF Paulo VI 1° SEM'!R14</f>
        <v>0.40211640211640209</v>
      </c>
    </row>
    <row r="118" spans="1:18" ht="15.75" thickBot="1" x14ac:dyDescent="0.3">
      <c r="A118" s="524" t="str">
        <f>'AMA_ UBS e NASF Paulo VI 1° SEM'!A15</f>
        <v>SOMA</v>
      </c>
      <c r="B118" s="525">
        <f>'AMA_ UBS e NASF Paulo VI 1° SEM'!B15</f>
        <v>13708</v>
      </c>
      <c r="C118" s="526">
        <f>'AMA_ UBS e NASF Paulo VI 1° SEM'!C15</f>
        <v>11096</v>
      </c>
      <c r="D118" s="527">
        <f>'AMA_ UBS e NASF Paulo VI 1° SEM'!D15</f>
        <v>-0.19054566676393347</v>
      </c>
      <c r="E118" s="526">
        <f>'AMA_ UBS e NASF Paulo VI 1° SEM'!E15</f>
        <v>11293</v>
      </c>
      <c r="F118" s="527">
        <f>'AMA_ UBS e NASF Paulo VI 1° SEM'!F15</f>
        <v>-0.1761744966442953</v>
      </c>
      <c r="G118" s="526">
        <f>'AMA_ UBS e NASF Paulo VI 1° SEM'!G15</f>
        <v>12580</v>
      </c>
      <c r="H118" s="527">
        <f>'AMA_ UBS e NASF Paulo VI 1° SEM'!H15</f>
        <v>-8.2287715202801315E-2</v>
      </c>
      <c r="I118" s="529">
        <f>'AMA_ UBS e NASF Paulo VI 1° SEM'!I15</f>
        <v>34969</v>
      </c>
      <c r="J118" s="530">
        <f>'AMA_ UBS e NASF Paulo VI 1° SEM'!J15</f>
        <v>-0.14966929287034336</v>
      </c>
      <c r="K118" s="526">
        <f>'AMA_ UBS e NASF Paulo VI 1° SEM'!K15</f>
        <v>11600</v>
      </c>
      <c r="L118" s="527">
        <f>'AMA_ UBS e NASF Paulo VI 1° SEM'!L15</f>
        <v>-0.15377881529034143</v>
      </c>
      <c r="M118" s="526">
        <f>'AMA_ UBS e NASF Paulo VI 1° SEM'!M15</f>
        <v>12557</v>
      </c>
      <c r="N118" s="527">
        <f>'AMA_ UBS e NASF Paulo VI 1° SEM'!N15</f>
        <v>-8.3965567551794518E-2</v>
      </c>
      <c r="O118" s="526">
        <f>'AMA_ UBS e NASF Paulo VI 1° SEM'!O15</f>
        <v>11661</v>
      </c>
      <c r="P118" s="527">
        <f>'AMA_ UBS e NASF Paulo VI 1° SEM'!P15</f>
        <v>-0.14932885906040272</v>
      </c>
      <c r="Q118" s="529">
        <f>'AMA_ UBS e NASF Paulo VI 1° SEM'!Q15</f>
        <v>35818</v>
      </c>
      <c r="R118" s="554">
        <f>'AMA_ UBS e NASF Paulo VI 1° SEM'!R15</f>
        <v>-0.12902441396751285</v>
      </c>
    </row>
    <row r="120" spans="1:18" ht="15.75" x14ac:dyDescent="0.25">
      <c r="A120" s="827" t="s">
        <v>361</v>
      </c>
      <c r="B120" s="828"/>
      <c r="C120" s="828"/>
      <c r="D120" s="828"/>
      <c r="E120" s="828"/>
      <c r="F120" s="828"/>
      <c r="G120" s="828"/>
      <c r="H120" s="828"/>
      <c r="I120" s="828"/>
      <c r="J120" s="828"/>
      <c r="K120" s="828"/>
      <c r="L120" s="828"/>
      <c r="M120" s="828"/>
      <c r="N120" s="828"/>
      <c r="O120" s="828"/>
      <c r="P120" s="828"/>
      <c r="Q120" s="828"/>
      <c r="R120" s="828"/>
    </row>
    <row r="121" spans="1:18" ht="24.75" thickBot="1" x14ac:dyDescent="0.3">
      <c r="A121" s="606" t="s">
        <v>8</v>
      </c>
      <c r="B121" s="607" t="s">
        <v>9</v>
      </c>
      <c r="C121" s="535" t="str">
        <f t="shared" ref="C121:R121" si="7">C32</f>
        <v>JAN</v>
      </c>
      <c r="D121" s="536" t="str">
        <f t="shared" si="7"/>
        <v>%</v>
      </c>
      <c r="E121" s="535" t="str">
        <f t="shared" si="7"/>
        <v>FEV</v>
      </c>
      <c r="F121" s="536" t="str">
        <f t="shared" si="7"/>
        <v>%</v>
      </c>
      <c r="G121" s="535" t="str">
        <f t="shared" si="7"/>
        <v>MAR</v>
      </c>
      <c r="H121" s="536" t="str">
        <f t="shared" si="7"/>
        <v>%</v>
      </c>
      <c r="I121" s="537" t="str">
        <f t="shared" si="7"/>
        <v>Trimestre</v>
      </c>
      <c r="J121" s="537" t="str">
        <f t="shared" si="7"/>
        <v>%</v>
      </c>
      <c r="K121" s="535" t="str">
        <f t="shared" si="7"/>
        <v>ABR</v>
      </c>
      <c r="L121" s="536" t="str">
        <f t="shared" si="7"/>
        <v>%</v>
      </c>
      <c r="M121" s="535" t="str">
        <f t="shared" si="7"/>
        <v>MAI</v>
      </c>
      <c r="N121" s="536" t="str">
        <f t="shared" si="7"/>
        <v>%</v>
      </c>
      <c r="O121" s="535" t="str">
        <f t="shared" si="7"/>
        <v>JUN</v>
      </c>
      <c r="P121" s="536" t="str">
        <f t="shared" si="7"/>
        <v>%</v>
      </c>
      <c r="Q121" s="537" t="str">
        <f t="shared" si="7"/>
        <v>Trimestre</v>
      </c>
      <c r="R121" s="537" t="str">
        <f t="shared" si="7"/>
        <v>%</v>
      </c>
    </row>
    <row r="122" spans="1:18" ht="15.75" thickTop="1" x14ac:dyDescent="0.25">
      <c r="A122" s="608" t="str">
        <f>' AMA e UBS Sao Jorge 1° SEM'!A7</f>
        <v>ACS</v>
      </c>
      <c r="B122" s="609">
        <f>' AMA e UBS Sao Jorge 1° SEM'!B7</f>
        <v>7200</v>
      </c>
      <c r="C122" s="610">
        <f>' AMA e UBS Sao Jorge 1° SEM'!C7</f>
        <v>5781</v>
      </c>
      <c r="D122" s="611">
        <f>' AMA e UBS Sao Jorge 1° SEM'!D7</f>
        <v>-0.19708333333333339</v>
      </c>
      <c r="E122" s="523">
        <f>' AMA e UBS Sao Jorge 1° SEM'!E7</f>
        <v>5593</v>
      </c>
      <c r="F122" s="611">
        <f>' AMA e UBS Sao Jorge 1° SEM'!F7</f>
        <v>-0.22319444444444447</v>
      </c>
      <c r="G122" s="523">
        <f>' AMA e UBS Sao Jorge 1° SEM'!G7</f>
        <v>6762</v>
      </c>
      <c r="H122" s="611">
        <f>' AMA e UBS Sao Jorge 1° SEM'!H7</f>
        <v>-6.0833333333333295E-2</v>
      </c>
      <c r="I122" s="518">
        <f>' AMA e UBS Sao Jorge 1° SEM'!I7</f>
        <v>18136</v>
      </c>
      <c r="J122" s="540">
        <f>' AMA e UBS Sao Jorge 1° SEM'!J7</f>
        <v>-0.16037037037037039</v>
      </c>
      <c r="K122" s="523">
        <f>' AMA e UBS Sao Jorge 1° SEM'!K7</f>
        <v>5658</v>
      </c>
      <c r="L122" s="611">
        <f>' AMA e UBS Sao Jorge 1° SEM'!L7</f>
        <v>-0.21416666666666662</v>
      </c>
      <c r="M122" s="523">
        <f>' AMA e UBS Sao Jorge 1° SEM'!M7</f>
        <v>6485</v>
      </c>
      <c r="N122" s="611">
        <f>' AMA e UBS Sao Jorge 1° SEM'!N7</f>
        <v>-9.9305555555555536E-2</v>
      </c>
      <c r="O122" s="523">
        <f>' AMA e UBS Sao Jorge 1° SEM'!O7</f>
        <v>5848</v>
      </c>
      <c r="P122" s="611">
        <f>' AMA e UBS Sao Jorge 1° SEM'!P7</f>
        <v>-0.18777777777777782</v>
      </c>
      <c r="Q122" s="518">
        <f>' AMA e UBS Sao Jorge 1° SEM'!Q7</f>
        <v>17991</v>
      </c>
      <c r="R122" s="540">
        <f>' AMA e UBS Sao Jorge 1° SEM'!R7</f>
        <v>-0.16708333333333336</v>
      </c>
    </row>
    <row r="123" spans="1:18" x14ac:dyDescent="0.25">
      <c r="A123" s="599" t="str">
        <f>' AMA e UBS Sao Jorge 1° SEM'!A8</f>
        <v>Médico Generalista</v>
      </c>
      <c r="B123" s="543">
        <f>' AMA e UBS Sao Jorge 1° SEM'!B8</f>
        <v>2496</v>
      </c>
      <c r="C123" s="544">
        <f>' AMA e UBS Sao Jorge 1° SEM'!C8</f>
        <v>1879</v>
      </c>
      <c r="D123" s="612">
        <f>' AMA e UBS Sao Jorge 1° SEM'!D8</f>
        <v>-0.24719551282051277</v>
      </c>
      <c r="E123" s="544">
        <f>' AMA e UBS Sao Jorge 1° SEM'!E8</f>
        <v>1426</v>
      </c>
      <c r="F123" s="612">
        <f>' AMA e UBS Sao Jorge 1° SEM'!F8</f>
        <v>-0.42868589743589747</v>
      </c>
      <c r="G123" s="544">
        <f>' AMA e UBS Sao Jorge 1° SEM'!G8</f>
        <v>2141</v>
      </c>
      <c r="H123" s="612">
        <f>' AMA e UBS Sao Jorge 1° SEM'!H8</f>
        <v>-0.1422275641025641</v>
      </c>
      <c r="I123" s="546">
        <f>' AMA e UBS Sao Jorge 1° SEM'!I8</f>
        <v>5446</v>
      </c>
      <c r="J123" s="547">
        <f>' AMA e UBS Sao Jorge 1° SEM'!J8</f>
        <v>-0.27270299145299148</v>
      </c>
      <c r="K123" s="544">
        <f>' AMA e UBS Sao Jorge 1° SEM'!K8</f>
        <v>1931</v>
      </c>
      <c r="L123" s="612">
        <f>' AMA e UBS Sao Jorge 1° SEM'!L8</f>
        <v>-0.22636217948717952</v>
      </c>
      <c r="M123" s="544">
        <f>' AMA e UBS Sao Jorge 1° SEM'!M8</f>
        <v>2405</v>
      </c>
      <c r="N123" s="612">
        <f>' AMA e UBS Sao Jorge 1° SEM'!N8</f>
        <v>-3.645833333333337E-2</v>
      </c>
      <c r="O123" s="544">
        <f>' AMA e UBS Sao Jorge 1° SEM'!O8</f>
        <v>2104</v>
      </c>
      <c r="P123" s="612">
        <f>' AMA e UBS Sao Jorge 1° SEM'!P8</f>
        <v>-0.15705128205128205</v>
      </c>
      <c r="Q123" s="546">
        <f>' AMA e UBS Sao Jorge 1° SEM'!Q8</f>
        <v>6440</v>
      </c>
      <c r="R123" s="547">
        <f>' AMA e UBS Sao Jorge 1° SEM'!R8</f>
        <v>-0.1399572649572649</v>
      </c>
    </row>
    <row r="124" spans="1:18" x14ac:dyDescent="0.25">
      <c r="A124" s="509" t="str">
        <f>' AMA e UBS Sao Jorge 1° SEM'!A9</f>
        <v>Enfermeiro - ESF</v>
      </c>
      <c r="B124" s="494">
        <f>' AMA e UBS Sao Jorge 1° SEM'!B9</f>
        <v>936</v>
      </c>
      <c r="C124" s="495">
        <f>' AMA e UBS Sao Jorge 1° SEM'!C9</f>
        <v>1139</v>
      </c>
      <c r="D124" s="496">
        <f>' AMA e UBS Sao Jorge 1° SEM'!D9</f>
        <v>0.21688034188034178</v>
      </c>
      <c r="E124" s="495">
        <f>' AMA e UBS Sao Jorge 1° SEM'!E9</f>
        <v>823</v>
      </c>
      <c r="F124" s="496">
        <f>' AMA e UBS Sao Jorge 1° SEM'!F9</f>
        <v>-0.12072649572649574</v>
      </c>
      <c r="G124" s="495">
        <f>' AMA e UBS Sao Jorge 1° SEM'!G9</f>
        <v>958</v>
      </c>
      <c r="H124" s="496">
        <f>' AMA e UBS Sao Jorge 1° SEM'!H9</f>
        <v>2.3504273504273421E-2</v>
      </c>
      <c r="I124" s="497">
        <f>' AMA e UBS Sao Jorge 1° SEM'!I9</f>
        <v>2920</v>
      </c>
      <c r="J124" s="498">
        <f>' AMA e UBS Sao Jorge 1° SEM'!J9</f>
        <v>3.9886039886039892E-2</v>
      </c>
      <c r="K124" s="495">
        <f>' AMA e UBS Sao Jorge 1° SEM'!K9</f>
        <v>881</v>
      </c>
      <c r="L124" s="496">
        <f>' AMA e UBS Sao Jorge 1° SEM'!L9</f>
        <v>-5.8760683760683774E-2</v>
      </c>
      <c r="M124" s="495">
        <f>' AMA e UBS Sao Jorge 1° SEM'!M9</f>
        <v>1230</v>
      </c>
      <c r="N124" s="496">
        <f>' AMA e UBS Sao Jorge 1° SEM'!N9</f>
        <v>0.3141025641025641</v>
      </c>
      <c r="O124" s="495">
        <f>' AMA e UBS Sao Jorge 1° SEM'!O9</f>
        <v>966</v>
      </c>
      <c r="P124" s="496">
        <f>' AMA e UBS Sao Jorge 1° SEM'!P9</f>
        <v>3.2051282051282159E-2</v>
      </c>
      <c r="Q124" s="497">
        <f>' AMA e UBS Sao Jorge 1° SEM'!Q9</f>
        <v>3077</v>
      </c>
      <c r="R124" s="498">
        <f>' AMA e UBS Sao Jorge 1° SEM'!R9</f>
        <v>9.5797720797720753E-2</v>
      </c>
    </row>
    <row r="125" spans="1:18" ht="24" x14ac:dyDescent="0.25">
      <c r="A125" s="493" t="str">
        <f>' AMA e UBS Sao Jorge 1° SEM'!A10</f>
        <v>Cirurgião dentista - ESB I (atendimento individual) UBS</v>
      </c>
      <c r="B125" s="494">
        <f>' AMA e UBS Sao Jorge 1° SEM'!B10</f>
        <v>192</v>
      </c>
      <c r="C125" s="495">
        <f>' AMA e UBS Sao Jorge 1° SEM'!C10</f>
        <v>147</v>
      </c>
      <c r="D125" s="496">
        <f>' AMA e UBS Sao Jorge 1° SEM'!D10</f>
        <v>-0.234375</v>
      </c>
      <c r="E125" s="495">
        <f>' AMA e UBS Sao Jorge 1° SEM'!E10</f>
        <v>116</v>
      </c>
      <c r="F125" s="496">
        <f>' AMA e UBS Sao Jorge 1° SEM'!F10</f>
        <v>-0.39583333333333337</v>
      </c>
      <c r="G125" s="495">
        <f>' AMA e UBS Sao Jorge 1° SEM'!G10</f>
        <v>241</v>
      </c>
      <c r="H125" s="496">
        <f>' AMA e UBS Sao Jorge 1° SEM'!H10</f>
        <v>0.25520833333333326</v>
      </c>
      <c r="I125" s="497">
        <f>' AMA e UBS Sao Jorge 1° SEM'!I10</f>
        <v>504</v>
      </c>
      <c r="J125" s="498">
        <f>' AMA e UBS Sao Jorge 1° SEM'!J10</f>
        <v>-0.125</v>
      </c>
      <c r="K125" s="495">
        <f>' AMA e UBS Sao Jorge 1° SEM'!K10</f>
        <v>170</v>
      </c>
      <c r="L125" s="496">
        <f>' AMA e UBS Sao Jorge 1° SEM'!L10</f>
        <v>-0.11458333333333337</v>
      </c>
      <c r="M125" s="495">
        <f>' AMA e UBS Sao Jorge 1° SEM'!M10</f>
        <v>267</v>
      </c>
      <c r="N125" s="496">
        <f>' AMA e UBS Sao Jorge 1° SEM'!N10</f>
        <v>0.390625</v>
      </c>
      <c r="O125" s="495">
        <f>' AMA e UBS Sao Jorge 1° SEM'!O10</f>
        <v>232</v>
      </c>
      <c r="P125" s="496">
        <f>' AMA e UBS Sao Jorge 1° SEM'!P10</f>
        <v>0.20833333333333326</v>
      </c>
      <c r="Q125" s="497">
        <f>' AMA e UBS Sao Jorge 1° SEM'!Q10</f>
        <v>669</v>
      </c>
      <c r="R125" s="498">
        <f>' AMA e UBS Sao Jorge 1° SEM'!R10</f>
        <v>0.16145833333333326</v>
      </c>
    </row>
    <row r="126" spans="1:18" ht="24" x14ac:dyDescent="0.25">
      <c r="A126" s="493" t="str">
        <f>' AMA e UBS Sao Jorge 1° SEM'!A11</f>
        <v>Cirugião Dentista - ESB I ( procedimento)</v>
      </c>
      <c r="B126" s="494">
        <f>' AMA e UBS Sao Jorge 1° SEM'!B11</f>
        <v>672</v>
      </c>
      <c r="C126" s="495">
        <f>' AMA e UBS Sao Jorge 1° SEM'!C11</f>
        <v>365</v>
      </c>
      <c r="D126" s="496">
        <f>' AMA e UBS Sao Jorge 1° SEM'!D11</f>
        <v>-0.45684523809523814</v>
      </c>
      <c r="E126" s="495">
        <f>' AMA e UBS Sao Jorge 1° SEM'!E11</f>
        <v>331</v>
      </c>
      <c r="F126" s="496">
        <f>' AMA e UBS Sao Jorge 1° SEM'!F11</f>
        <v>-0.50744047619047616</v>
      </c>
      <c r="G126" s="495">
        <f>' AMA e UBS Sao Jorge 1° SEM'!G11</f>
        <v>415</v>
      </c>
      <c r="H126" s="496">
        <f>' AMA e UBS Sao Jorge 1° SEM'!H11</f>
        <v>-0.38244047619047616</v>
      </c>
      <c r="I126" s="497">
        <f>' AMA e UBS Sao Jorge 1° SEM'!I11</f>
        <v>1111</v>
      </c>
      <c r="J126" s="498">
        <f>' AMA e UBS Sao Jorge 1° SEM'!J11</f>
        <v>-0.44890873015873012</v>
      </c>
      <c r="K126" s="495">
        <f>' AMA e UBS Sao Jorge 1° SEM'!K11</f>
        <v>478</v>
      </c>
      <c r="L126" s="496">
        <f>' AMA e UBS Sao Jorge 1° SEM'!L11</f>
        <v>-0.28869047619047616</v>
      </c>
      <c r="M126" s="495">
        <f>' AMA e UBS Sao Jorge 1° SEM'!M11</f>
        <v>569</v>
      </c>
      <c r="N126" s="496">
        <f>' AMA e UBS Sao Jorge 1° SEM'!N11</f>
        <v>-0.15327380952380953</v>
      </c>
      <c r="O126" s="495">
        <f>' AMA e UBS Sao Jorge 1° SEM'!O11</f>
        <v>498</v>
      </c>
      <c r="P126" s="496">
        <f>' AMA e UBS Sao Jorge 1° SEM'!P11</f>
        <v>-0.2589285714285714</v>
      </c>
      <c r="Q126" s="497">
        <f>' AMA e UBS Sao Jorge 1° SEM'!Q11</f>
        <v>1545</v>
      </c>
      <c r="R126" s="498">
        <f>' AMA e UBS Sao Jorge 1° SEM'!R11</f>
        <v>-0.23363095238095233</v>
      </c>
    </row>
    <row r="127" spans="1:18" ht="24" x14ac:dyDescent="0.25">
      <c r="A127" s="493" t="str">
        <f>' AMA e UBS Sao Jorge 1° SEM'!A12</f>
        <v>Cirurgião Dentista (atendimento individual) UBS</v>
      </c>
      <c r="B127" s="494">
        <f>' AMA e UBS Sao Jorge 1° SEM'!B12</f>
        <v>192</v>
      </c>
      <c r="C127" s="495">
        <f>' AMA e UBS Sao Jorge 1° SEM'!C12</f>
        <v>346</v>
      </c>
      <c r="D127" s="496">
        <f>' AMA e UBS Sao Jorge 1° SEM'!D12</f>
        <v>0.80208333333333326</v>
      </c>
      <c r="E127" s="495">
        <f>' AMA e UBS Sao Jorge 1° SEM'!E12</f>
        <v>429</v>
      </c>
      <c r="F127" s="496">
        <f>' AMA e UBS Sao Jorge 1° SEM'!F12</f>
        <v>1.234375</v>
      </c>
      <c r="G127" s="495">
        <f>' AMA e UBS Sao Jorge 1° SEM'!G12</f>
        <v>290</v>
      </c>
      <c r="H127" s="496">
        <f>' AMA e UBS Sao Jorge 1° SEM'!H12</f>
        <v>0.51041666666666674</v>
      </c>
      <c r="I127" s="497">
        <f>' AMA e UBS Sao Jorge 1° SEM'!I12</f>
        <v>1065</v>
      </c>
      <c r="J127" s="498">
        <f>' AMA e UBS Sao Jorge 1° SEM'!J12</f>
        <v>0.84895833333333326</v>
      </c>
      <c r="K127" s="495">
        <f>' AMA e UBS Sao Jorge 1° SEM'!K12</f>
        <v>220</v>
      </c>
      <c r="L127" s="496">
        <f>' AMA e UBS Sao Jorge 1° SEM'!L12</f>
        <v>0.14583333333333326</v>
      </c>
      <c r="M127" s="495">
        <f>' AMA e UBS Sao Jorge 1° SEM'!M12</f>
        <v>302</v>
      </c>
      <c r="N127" s="496">
        <f>' AMA e UBS Sao Jorge 1° SEM'!N12</f>
        <v>0.57291666666666674</v>
      </c>
      <c r="O127" s="495">
        <f>' AMA e UBS Sao Jorge 1° SEM'!O12</f>
        <v>345</v>
      </c>
      <c r="P127" s="496">
        <f>' AMA e UBS Sao Jorge 1° SEM'!P12</f>
        <v>0.796875</v>
      </c>
      <c r="Q127" s="497">
        <f>' AMA e UBS Sao Jorge 1° SEM'!Q12</f>
        <v>867</v>
      </c>
      <c r="R127" s="498">
        <f>' AMA e UBS Sao Jorge 1° SEM'!R12</f>
        <v>0.50520833333333326</v>
      </c>
    </row>
    <row r="128" spans="1:18" ht="24" x14ac:dyDescent="0.25">
      <c r="A128" s="493" t="str">
        <f>' AMA e UBS Sao Jorge 1° SEM'!A13</f>
        <v>Cirurgião Dentista (procedimento)</v>
      </c>
      <c r="B128" s="494">
        <f>' AMA e UBS Sao Jorge 1° SEM'!B13</f>
        <v>672</v>
      </c>
      <c r="C128" s="495">
        <f>' AMA e UBS Sao Jorge 1° SEM'!C13</f>
        <v>588</v>
      </c>
      <c r="D128" s="496">
        <f>' AMA e UBS Sao Jorge 1° SEM'!D13</f>
        <v>-0.125</v>
      </c>
      <c r="E128" s="495">
        <f>' AMA e UBS Sao Jorge 1° SEM'!E13</f>
        <v>1093</v>
      </c>
      <c r="F128" s="496">
        <f>' AMA e UBS Sao Jorge 1° SEM'!F13</f>
        <v>0.62648809523809534</v>
      </c>
      <c r="G128" s="495">
        <f>' AMA e UBS Sao Jorge 1° SEM'!G13</f>
        <v>1489</v>
      </c>
      <c r="H128" s="496">
        <f>' AMA e UBS Sao Jorge 1° SEM'!H13</f>
        <v>1.2157738095238093</v>
      </c>
      <c r="I128" s="497">
        <f>' AMA e UBS Sao Jorge 1° SEM'!I13</f>
        <v>3170</v>
      </c>
      <c r="J128" s="498">
        <f>' AMA e UBS Sao Jorge 1° SEM'!J13</f>
        <v>0.57242063492063489</v>
      </c>
      <c r="K128" s="495">
        <f>' AMA e UBS Sao Jorge 1° SEM'!K13</f>
        <v>1254</v>
      </c>
      <c r="L128" s="496">
        <f>' AMA e UBS Sao Jorge 1° SEM'!L13</f>
        <v>0.8660714285714286</v>
      </c>
      <c r="M128" s="495">
        <f>' AMA e UBS Sao Jorge 1° SEM'!M13</f>
        <v>1156</v>
      </c>
      <c r="N128" s="496">
        <f>' AMA e UBS Sao Jorge 1° SEM'!N13</f>
        <v>0.72023809523809534</v>
      </c>
      <c r="O128" s="495">
        <f>' AMA e UBS Sao Jorge 1° SEM'!O13</f>
        <v>792</v>
      </c>
      <c r="P128" s="496">
        <f>' AMA e UBS Sao Jorge 1° SEM'!P13</f>
        <v>0.1785714285714286</v>
      </c>
      <c r="Q128" s="497">
        <f>' AMA e UBS Sao Jorge 1° SEM'!Q13</f>
        <v>3202</v>
      </c>
      <c r="R128" s="498">
        <f>' AMA e UBS Sao Jorge 1° SEM'!R13</f>
        <v>0.5882936507936507</v>
      </c>
    </row>
    <row r="129" spans="1:18" x14ac:dyDescent="0.25">
      <c r="A129" s="509" t="str">
        <f>' AMA e UBS Sao Jorge 1° SEM'!A14</f>
        <v>Clínico Geral</v>
      </c>
      <c r="B129" s="494">
        <f>' AMA e UBS Sao Jorge 1° SEM'!B14</f>
        <v>526</v>
      </c>
      <c r="C129" s="495">
        <f>' AMA e UBS Sao Jorge 1° SEM'!C14</f>
        <v>420</v>
      </c>
      <c r="D129" s="496">
        <f>' AMA e UBS Sao Jorge 1° SEM'!D14</f>
        <v>-0.20152091254752846</v>
      </c>
      <c r="E129" s="495">
        <f>' AMA e UBS Sao Jorge 1° SEM'!E14</f>
        <v>314</v>
      </c>
      <c r="F129" s="496">
        <f>' AMA e UBS Sao Jorge 1° SEM'!F14</f>
        <v>-0.40304182509505704</v>
      </c>
      <c r="G129" s="495">
        <f>' AMA e UBS Sao Jorge 1° SEM'!G14</f>
        <v>469</v>
      </c>
      <c r="H129" s="496">
        <f>' AMA e UBS Sao Jorge 1° SEM'!H14</f>
        <v>-0.10836501901140683</v>
      </c>
      <c r="I129" s="497">
        <f>' AMA e UBS Sao Jorge 1° SEM'!I14</f>
        <v>1203</v>
      </c>
      <c r="J129" s="498">
        <f>' AMA e UBS Sao Jorge 1° SEM'!J14</f>
        <v>-0.23764258555133078</v>
      </c>
      <c r="K129" s="495">
        <f>' AMA e UBS Sao Jorge 1° SEM'!K14</f>
        <v>406</v>
      </c>
      <c r="L129" s="496">
        <f>' AMA e UBS Sao Jorge 1° SEM'!L14</f>
        <v>-0.22813688212927752</v>
      </c>
      <c r="M129" s="495">
        <f>' AMA e UBS Sao Jorge 1° SEM'!M14</f>
        <v>255</v>
      </c>
      <c r="N129" s="496">
        <f>' AMA e UBS Sao Jorge 1° SEM'!N14</f>
        <v>-0.51520912547528519</v>
      </c>
      <c r="O129" s="495">
        <f>' AMA e UBS Sao Jorge 1° SEM'!O14</f>
        <v>235</v>
      </c>
      <c r="P129" s="496">
        <f>' AMA e UBS Sao Jorge 1° SEM'!P14</f>
        <v>-0.55323193916349811</v>
      </c>
      <c r="Q129" s="497">
        <f>' AMA e UBS Sao Jorge 1° SEM'!Q14</f>
        <v>896</v>
      </c>
      <c r="R129" s="498">
        <f>' AMA e UBS Sao Jorge 1° SEM'!R14</f>
        <v>-0.43219264892268694</v>
      </c>
    </row>
    <row r="130" spans="1:18" x14ac:dyDescent="0.25">
      <c r="A130" s="509" t="str">
        <f>' AMA e UBS Sao Jorge 1° SEM'!A15</f>
        <v>Pediatra</v>
      </c>
      <c r="B130" s="494">
        <f>' AMA e UBS Sao Jorge 1° SEM'!B15</f>
        <v>263</v>
      </c>
      <c r="C130" s="495">
        <f>' AMA e UBS Sao Jorge 1° SEM'!C15</f>
        <v>186</v>
      </c>
      <c r="D130" s="496">
        <f>' AMA e UBS Sao Jorge 1° SEM'!D15</f>
        <v>-0.29277566539923949</v>
      </c>
      <c r="E130" s="495">
        <f>' AMA e UBS Sao Jorge 1° SEM'!E15</f>
        <v>211</v>
      </c>
      <c r="F130" s="496">
        <f>' AMA e UBS Sao Jorge 1° SEM'!F15</f>
        <v>-0.19771863117870725</v>
      </c>
      <c r="G130" s="495">
        <f>' AMA e UBS Sao Jorge 1° SEM'!G15</f>
        <v>237</v>
      </c>
      <c r="H130" s="496">
        <f>' AMA e UBS Sao Jorge 1° SEM'!H15</f>
        <v>-9.8859315589353569E-2</v>
      </c>
      <c r="I130" s="497">
        <f>' AMA e UBS Sao Jorge 1° SEM'!I15</f>
        <v>634</v>
      </c>
      <c r="J130" s="498">
        <f>' AMA e UBS Sao Jorge 1° SEM'!J15</f>
        <v>-0.19645120405576677</v>
      </c>
      <c r="K130" s="495">
        <f>' AMA e UBS Sao Jorge 1° SEM'!K15</f>
        <v>149</v>
      </c>
      <c r="L130" s="496">
        <f>' AMA e UBS Sao Jorge 1° SEM'!L15</f>
        <v>-0.43346007604562742</v>
      </c>
      <c r="M130" s="495">
        <f>' AMA e UBS Sao Jorge 1° SEM'!M15</f>
        <v>0</v>
      </c>
      <c r="N130" s="496">
        <f>' AMA e UBS Sao Jorge 1° SEM'!N15</f>
        <v>-1</v>
      </c>
      <c r="O130" s="495">
        <f>' AMA e UBS Sao Jorge 1° SEM'!O15</f>
        <v>206</v>
      </c>
      <c r="P130" s="496">
        <f>' AMA e UBS Sao Jorge 1° SEM'!P15</f>
        <v>-0.21673003802281365</v>
      </c>
      <c r="Q130" s="497">
        <f>' AMA e UBS Sao Jorge 1° SEM'!Q15</f>
        <v>355</v>
      </c>
      <c r="R130" s="498">
        <f>' AMA e UBS Sao Jorge 1° SEM'!R15</f>
        <v>-0.55006337135614702</v>
      </c>
    </row>
    <row r="131" spans="1:18" x14ac:dyDescent="0.25">
      <c r="A131" s="509" t="str">
        <f>' AMA e UBS Sao Jorge 1° SEM'!A16</f>
        <v>Tocoginecologista</v>
      </c>
      <c r="B131" s="494">
        <f>' AMA e UBS Sao Jorge 1° SEM'!B16</f>
        <v>263</v>
      </c>
      <c r="C131" s="495">
        <f>' AMA e UBS Sao Jorge 1° SEM'!C16</f>
        <v>0</v>
      </c>
      <c r="D131" s="496">
        <f>' AMA e UBS Sao Jorge 1° SEM'!D16</f>
        <v>-1</v>
      </c>
      <c r="E131" s="495">
        <f>' AMA e UBS Sao Jorge 1° SEM'!E16</f>
        <v>0</v>
      </c>
      <c r="F131" s="496">
        <f>' AMA e UBS Sao Jorge 1° SEM'!F16</f>
        <v>-1</v>
      </c>
      <c r="G131" s="495">
        <f>' AMA e UBS Sao Jorge 1° SEM'!G16</f>
        <v>0</v>
      </c>
      <c r="H131" s="496">
        <f>' AMA e UBS Sao Jorge 1° SEM'!H16</f>
        <v>-1</v>
      </c>
      <c r="I131" s="497">
        <f>' AMA e UBS Sao Jorge 1° SEM'!I16</f>
        <v>0</v>
      </c>
      <c r="J131" s="498">
        <f>' AMA e UBS Sao Jorge 1° SEM'!J16</f>
        <v>-1</v>
      </c>
      <c r="K131" s="495">
        <f>' AMA e UBS Sao Jorge 1° SEM'!K16</f>
        <v>0</v>
      </c>
      <c r="L131" s="496">
        <f>' AMA e UBS Sao Jorge 1° SEM'!L16</f>
        <v>-1</v>
      </c>
      <c r="M131" s="495">
        <f>' AMA e UBS Sao Jorge 1° SEM'!M16</f>
        <v>0</v>
      </c>
      <c r="N131" s="496">
        <f>' AMA e UBS Sao Jorge 1° SEM'!N16</f>
        <v>-1</v>
      </c>
      <c r="O131" s="495">
        <f>' AMA e UBS Sao Jorge 1° SEM'!O16</f>
        <v>127</v>
      </c>
      <c r="P131" s="496">
        <f>' AMA e UBS Sao Jorge 1° SEM'!P16</f>
        <v>-0.5171102661596958</v>
      </c>
      <c r="Q131" s="497">
        <f>' AMA e UBS Sao Jorge 1° SEM'!Q16</f>
        <v>127</v>
      </c>
      <c r="R131" s="498">
        <f>' AMA e UBS Sao Jorge 1° SEM'!R16</f>
        <v>-0.8390367553865653</v>
      </c>
    </row>
    <row r="132" spans="1:18" ht="15.75" thickBot="1" x14ac:dyDescent="0.3">
      <c r="A132" s="613" t="str">
        <f>' AMA e UBS Sao Jorge 1° SEM'!A17</f>
        <v>Psquiatra</v>
      </c>
      <c r="B132" s="614">
        <f>' AMA e UBS Sao Jorge 1° SEM'!B17</f>
        <v>166</v>
      </c>
      <c r="C132" s="615">
        <f>' AMA e UBS Sao Jorge 1° SEM'!C17</f>
        <v>133</v>
      </c>
      <c r="D132" s="616">
        <f>' AMA e UBS Sao Jorge 1° SEM'!D17</f>
        <v>-0.1987951807228916</v>
      </c>
      <c r="E132" s="617">
        <f>' AMA e UBS Sao Jorge 1° SEM'!E17</f>
        <v>152</v>
      </c>
      <c r="F132" s="616">
        <f>' AMA e UBS Sao Jorge 1° SEM'!F17</f>
        <v>-8.4337349397590411E-2</v>
      </c>
      <c r="G132" s="617">
        <f>' AMA e UBS Sao Jorge 1° SEM'!G17</f>
        <v>173</v>
      </c>
      <c r="H132" s="616">
        <f>' AMA e UBS Sao Jorge 1° SEM'!H17</f>
        <v>4.2168674698795261E-2</v>
      </c>
      <c r="I132" s="497">
        <f>' AMA e UBS Sao Jorge 1° SEM'!I17</f>
        <v>458</v>
      </c>
      <c r="J132" s="498">
        <f>' AMA e UBS Sao Jorge 1° SEM'!J17</f>
        <v>-8.0321285140562249E-2</v>
      </c>
      <c r="K132" s="618">
        <f>' AMA e UBS Sao Jorge 1° SEM'!K17</f>
        <v>130</v>
      </c>
      <c r="L132" s="616">
        <f>' AMA e UBS Sao Jorge 1° SEM'!L17</f>
        <v>-0.2168674698795181</v>
      </c>
      <c r="M132" s="617">
        <f>' AMA e UBS Sao Jorge 1° SEM'!M17</f>
        <v>0</v>
      </c>
      <c r="N132" s="616">
        <f>' AMA e UBS Sao Jorge 1° SEM'!N17</f>
        <v>-1</v>
      </c>
      <c r="O132" s="617">
        <f>' AMA e UBS Sao Jorge 1° SEM'!O17</f>
        <v>159</v>
      </c>
      <c r="P132" s="619">
        <f>' AMA e UBS Sao Jorge 1° SEM'!P17</f>
        <v>-4.216867469879515E-2</v>
      </c>
      <c r="Q132" s="620">
        <f>' AMA e UBS Sao Jorge 1° SEM'!Q17</f>
        <v>289</v>
      </c>
      <c r="R132" s="621">
        <f>' AMA e UBS Sao Jorge 1° SEM'!R17</f>
        <v>-0.41967871485943775</v>
      </c>
    </row>
    <row r="133" spans="1:18" ht="15.75" thickBot="1" x14ac:dyDescent="0.3">
      <c r="A133" s="524" t="str">
        <f>' AMA e UBS Sao Jorge 1° SEM'!A18</f>
        <v>SOMA</v>
      </c>
      <c r="B133" s="525">
        <f>' AMA e UBS Sao Jorge 1° SEM'!B18</f>
        <v>13578</v>
      </c>
      <c r="C133" s="526">
        <f>' AMA e UBS Sao Jorge 1° SEM'!C18</f>
        <v>10984</v>
      </c>
      <c r="D133" s="527">
        <f>' AMA e UBS Sao Jorge 1° SEM'!D18</f>
        <v>-0.19104433642657237</v>
      </c>
      <c r="E133" s="526">
        <f>' AMA e UBS Sao Jorge 1° SEM'!E18</f>
        <v>10488</v>
      </c>
      <c r="F133" s="527">
        <f>' AMA e UBS Sao Jorge 1° SEM'!F18</f>
        <v>-0.22757401679186917</v>
      </c>
      <c r="G133" s="526">
        <f>' AMA e UBS Sao Jorge 1° SEM'!G18</f>
        <v>13175</v>
      </c>
      <c r="H133" s="527">
        <f>' AMA e UBS Sao Jorge 1° SEM'!H18</f>
        <v>-2.9680365296803624E-2</v>
      </c>
      <c r="I133" s="529">
        <f>' AMA e UBS Sao Jorge 1° SEM'!I18</f>
        <v>34647</v>
      </c>
      <c r="J133" s="593">
        <f>' AMA e UBS Sao Jorge 1° SEM'!J18</f>
        <v>-0.14943290617174843</v>
      </c>
      <c r="K133" s="526">
        <f>' AMA e UBS Sao Jorge 1° SEM'!K18</f>
        <v>11277</v>
      </c>
      <c r="L133" s="527">
        <f>' AMA e UBS Sao Jorge 1° SEM'!L18</f>
        <v>-0.16946531153336275</v>
      </c>
      <c r="M133" s="526">
        <f>' AMA e UBS Sao Jorge 1° SEM'!M18</f>
        <v>12669</v>
      </c>
      <c r="N133" s="527">
        <f>' AMA e UBS Sao Jorge 1° SEM'!N18</f>
        <v>-6.6946531153336264E-2</v>
      </c>
      <c r="O133" s="526">
        <f>' AMA e UBS Sao Jorge 1° SEM'!O18</f>
        <v>11512</v>
      </c>
      <c r="P133" s="527">
        <f>' AMA e UBS Sao Jorge 1° SEM'!P18</f>
        <v>-0.15215790248932093</v>
      </c>
      <c r="Q133" s="529">
        <f>' AMA e UBS Sao Jorge 1° SEM'!Q18</f>
        <v>35458</v>
      </c>
      <c r="R133" s="593">
        <f>' AMA e UBS Sao Jorge 1° SEM'!R18</f>
        <v>-0.12952324839200668</v>
      </c>
    </row>
    <row r="135" spans="1:18" ht="16.5" thickBot="1" x14ac:dyDescent="0.3">
      <c r="A135" s="840" t="s">
        <v>364</v>
      </c>
      <c r="B135" s="841"/>
      <c r="C135" s="841"/>
      <c r="D135" s="841"/>
      <c r="E135" s="841"/>
      <c r="F135" s="841"/>
      <c r="G135" s="841"/>
      <c r="H135" s="841"/>
      <c r="I135" s="841"/>
      <c r="J135" s="841"/>
      <c r="K135" s="841"/>
      <c r="L135" s="841"/>
      <c r="M135" s="841"/>
      <c r="N135" s="841"/>
      <c r="O135" s="841"/>
      <c r="P135" s="841"/>
      <c r="Q135" s="841"/>
      <c r="R135" s="841"/>
    </row>
    <row r="136" spans="1:18" ht="24" x14ac:dyDescent="0.25">
      <c r="A136" s="622" t="s">
        <v>8</v>
      </c>
      <c r="B136" s="623" t="s">
        <v>9</v>
      </c>
      <c r="C136" s="624" t="str">
        <f t="shared" ref="C136:R136" si="8">C32</f>
        <v>JAN</v>
      </c>
      <c r="D136" s="625" t="str">
        <f t="shared" si="8"/>
        <v>%</v>
      </c>
      <c r="E136" s="624" t="str">
        <f t="shared" si="8"/>
        <v>FEV</v>
      </c>
      <c r="F136" s="625" t="str">
        <f t="shared" si="8"/>
        <v>%</v>
      </c>
      <c r="G136" s="624" t="str">
        <f t="shared" si="8"/>
        <v>MAR</v>
      </c>
      <c r="H136" s="625" t="str">
        <f t="shared" si="8"/>
        <v>%</v>
      </c>
      <c r="I136" s="626" t="str">
        <f t="shared" si="8"/>
        <v>Trimestre</v>
      </c>
      <c r="J136" s="626" t="str">
        <f t="shared" si="8"/>
        <v>%</v>
      </c>
      <c r="K136" s="624" t="str">
        <f t="shared" si="8"/>
        <v>ABR</v>
      </c>
      <c r="L136" s="625" t="str">
        <f t="shared" si="8"/>
        <v>%</v>
      </c>
      <c r="M136" s="624" t="str">
        <f t="shared" si="8"/>
        <v>MAI</v>
      </c>
      <c r="N136" s="625" t="str">
        <f t="shared" si="8"/>
        <v>%</v>
      </c>
      <c r="O136" s="624" t="str">
        <f t="shared" si="8"/>
        <v>JUN</v>
      </c>
      <c r="P136" s="625" t="str">
        <f t="shared" si="8"/>
        <v>%</v>
      </c>
      <c r="Q136" s="626" t="str">
        <f t="shared" si="8"/>
        <v>Trimestre</v>
      </c>
      <c r="R136" s="627" t="str">
        <f t="shared" si="8"/>
        <v>%</v>
      </c>
    </row>
    <row r="137" spans="1:18" x14ac:dyDescent="0.25">
      <c r="A137" s="628" t="str">
        <f>'PS BAND 1° SEM'!A7</f>
        <v>Atendimento de Urgencia</v>
      </c>
      <c r="B137" s="494" t="str">
        <f>'PS BAND 1° SEM'!B7</f>
        <v>s/ meta</v>
      </c>
      <c r="C137" s="495">
        <f>'PS BAND 1° SEM'!C7</f>
        <v>9558</v>
      </c>
      <c r="D137" s="496">
        <f>'PS BAND 1° SEM'!D7</f>
        <v>0</v>
      </c>
      <c r="E137" s="495">
        <f>'PS BAND 1° SEM'!E7</f>
        <v>10287</v>
      </c>
      <c r="F137" s="496">
        <f>'PS BAND 1° SEM'!F7</f>
        <v>0</v>
      </c>
      <c r="G137" s="495">
        <f>'PS BAND 1° SEM'!G7</f>
        <v>8525</v>
      </c>
      <c r="H137" s="496">
        <f>'PS BAND 1° SEM'!H7</f>
        <v>0</v>
      </c>
      <c r="I137" s="497">
        <f>'PS BAND 1° SEM'!I7</f>
        <v>28370</v>
      </c>
      <c r="J137" s="498" t="e">
        <f>'PS BAND 1° SEM'!#REF!</f>
        <v>#REF!</v>
      </c>
      <c r="K137" s="495">
        <f>'PS BAND 1° SEM'!J7</f>
        <v>7306</v>
      </c>
      <c r="L137" s="496">
        <f>'PS BAND 1° SEM'!K7</f>
        <v>0</v>
      </c>
      <c r="M137" s="495">
        <f>'PS BAND 1° SEM'!L7</f>
        <v>8481</v>
      </c>
      <c r="N137" s="496">
        <f>'PS BAND 1° SEM'!M7</f>
        <v>0</v>
      </c>
      <c r="O137" s="495">
        <f>'PS BAND 1° SEM'!N7</f>
        <v>10875</v>
      </c>
      <c r="P137" s="496">
        <f>'PS BAND 1° SEM'!O7</f>
        <v>0</v>
      </c>
      <c r="Q137" s="497">
        <f>'PS BAND 1° SEM'!P7</f>
        <v>26662</v>
      </c>
      <c r="R137" s="629" t="e">
        <f>'PS BAND 1° SEM'!#REF!</f>
        <v>#REF!</v>
      </c>
    </row>
    <row r="138" spans="1:18" x14ac:dyDescent="0.25">
      <c r="A138" s="628" t="str">
        <f>'PS BAND 1° SEM'!A8</f>
        <v>Atendimento Com Observação</v>
      </c>
      <c r="B138" s="494" t="str">
        <f>'PS BAND 1° SEM'!B8</f>
        <v>s/ meta</v>
      </c>
      <c r="C138" s="495">
        <f>'PS BAND 1° SEM'!C8</f>
        <v>331</v>
      </c>
      <c r="D138" s="496">
        <f>'PS BAND 1° SEM'!D8</f>
        <v>0</v>
      </c>
      <c r="E138" s="495">
        <f>'PS BAND 1° SEM'!E8</f>
        <v>314</v>
      </c>
      <c r="F138" s="496">
        <f>'PS BAND 1° SEM'!F8</f>
        <v>0</v>
      </c>
      <c r="G138" s="495">
        <f>'PS BAND 1° SEM'!G8</f>
        <v>319</v>
      </c>
      <c r="H138" s="496">
        <f>'PS BAND 1° SEM'!H8</f>
        <v>0</v>
      </c>
      <c r="I138" s="497">
        <f>'PS BAND 1° SEM'!I8</f>
        <v>964</v>
      </c>
      <c r="J138" s="498" t="e">
        <f>'PS BAND 1° SEM'!#REF!</f>
        <v>#REF!</v>
      </c>
      <c r="K138" s="495">
        <f>'PS BAND 1° SEM'!J8</f>
        <v>247</v>
      </c>
      <c r="L138" s="496">
        <f>'PS BAND 1° SEM'!K8</f>
        <v>0</v>
      </c>
      <c r="M138" s="495">
        <f>'PS BAND 1° SEM'!L8</f>
        <v>295</v>
      </c>
      <c r="N138" s="496">
        <f>'PS BAND 1° SEM'!M8</f>
        <v>0</v>
      </c>
      <c r="O138" s="495">
        <f>'PS BAND 1° SEM'!N8</f>
        <v>247</v>
      </c>
      <c r="P138" s="496">
        <f>'PS BAND 1° SEM'!O8</f>
        <v>0</v>
      </c>
      <c r="Q138" s="497">
        <f>'PS BAND 1° SEM'!P8</f>
        <v>789</v>
      </c>
      <c r="R138" s="629" t="e">
        <f>'PS BAND 1° SEM'!#REF!</f>
        <v>#REF!</v>
      </c>
    </row>
    <row r="139" spans="1:18" ht="15.75" thickBot="1" x14ac:dyDescent="0.3">
      <c r="A139" s="630" t="str">
        <f>'PS BAND 1° SEM'!A9</f>
        <v>Atendimento Ortopedia</v>
      </c>
      <c r="B139" s="631" t="str">
        <f>'PS BAND 1° SEM'!B9</f>
        <v>s/ meta</v>
      </c>
      <c r="C139" s="562">
        <f>'PS BAND 1° SEM'!C9</f>
        <v>0</v>
      </c>
      <c r="D139" s="551">
        <f>'PS BAND 1° SEM'!D9</f>
        <v>0</v>
      </c>
      <c r="E139" s="562">
        <f>'PS BAND 1° SEM'!E9</f>
        <v>1689</v>
      </c>
      <c r="F139" s="551">
        <f>'PS BAND 1° SEM'!F9</f>
        <v>0</v>
      </c>
      <c r="G139" s="562">
        <f>'PS BAND 1° SEM'!G9</f>
        <v>2079</v>
      </c>
      <c r="H139" s="551">
        <f>'PS BAND 1° SEM'!H9</f>
        <v>0</v>
      </c>
      <c r="I139" s="552">
        <f>'PS BAND 1° SEM'!I9</f>
        <v>3768</v>
      </c>
      <c r="J139" s="553" t="e">
        <f>'PS BAND 1° SEM'!#REF!</f>
        <v>#REF!</v>
      </c>
      <c r="K139" s="562">
        <f>'PS BAND 1° SEM'!J9</f>
        <v>1770</v>
      </c>
      <c r="L139" s="551">
        <f>'PS BAND 1° SEM'!K9</f>
        <v>0</v>
      </c>
      <c r="M139" s="562">
        <f>'PS BAND 1° SEM'!L9</f>
        <v>1783</v>
      </c>
      <c r="N139" s="551">
        <f>'PS BAND 1° SEM'!M9</f>
        <v>0</v>
      </c>
      <c r="O139" s="562">
        <f>'PS BAND 1° SEM'!N9</f>
        <v>1815</v>
      </c>
      <c r="P139" s="551">
        <f>'PS BAND 1° SEM'!O9</f>
        <v>0</v>
      </c>
      <c r="Q139" s="552">
        <f>'PS BAND 1° SEM'!P9</f>
        <v>5368</v>
      </c>
      <c r="R139" s="632" t="e">
        <f>'PS BAND 1° SEM'!#REF!</f>
        <v>#REF!</v>
      </c>
    </row>
    <row r="140" spans="1:18" ht="15.75" thickBot="1" x14ac:dyDescent="0.3">
      <c r="A140" s="633" t="str">
        <f>'PS BAND 1° SEM'!A10</f>
        <v>SOMA</v>
      </c>
      <c r="B140" s="634">
        <f>'PS BAND 1° SEM'!B10</f>
        <v>0</v>
      </c>
      <c r="C140" s="635">
        <f>'PS BAND 1° SEM'!C10</f>
        <v>9889</v>
      </c>
      <c r="D140" s="636">
        <f>'PS BAND 1° SEM'!D10</f>
        <v>0</v>
      </c>
      <c r="E140" s="635">
        <f>'PS BAND 1° SEM'!E10</f>
        <v>12290</v>
      </c>
      <c r="F140" s="636">
        <f>'PS BAND 1° SEM'!F10</f>
        <v>0</v>
      </c>
      <c r="G140" s="635">
        <f>'PS BAND 1° SEM'!G10</f>
        <v>10923</v>
      </c>
      <c r="H140" s="636">
        <f>'PS BAND 1° SEM'!H10</f>
        <v>0</v>
      </c>
      <c r="I140" s="569">
        <f>'PS BAND 1° SEM'!I10</f>
        <v>33102</v>
      </c>
      <c r="J140" s="637" t="e">
        <f>'PS BAND 1° SEM'!#REF!</f>
        <v>#REF!</v>
      </c>
      <c r="K140" s="635">
        <f>'PS BAND 1° SEM'!J10</f>
        <v>9323</v>
      </c>
      <c r="L140" s="636">
        <f>'PS BAND 1° SEM'!K10</f>
        <v>0</v>
      </c>
      <c r="M140" s="635">
        <f>'PS BAND 1° SEM'!L10</f>
        <v>10559</v>
      </c>
      <c r="N140" s="636">
        <f>'PS BAND 1° SEM'!M10</f>
        <v>0</v>
      </c>
      <c r="O140" s="635">
        <f>'PS BAND 1° SEM'!N10</f>
        <v>12937</v>
      </c>
      <c r="P140" s="636">
        <f>'PS BAND 1° SEM'!O10</f>
        <v>0</v>
      </c>
      <c r="Q140" s="569">
        <f>'PS BAND 1° SEM'!P10</f>
        <v>32819</v>
      </c>
      <c r="R140" s="638" t="e">
        <f>'PS BAND 1° SEM'!#REF!</f>
        <v>#REF!</v>
      </c>
    </row>
    <row r="142" spans="1:18" ht="15.75" x14ac:dyDescent="0.25">
      <c r="A142" s="827" t="s">
        <v>366</v>
      </c>
      <c r="B142" s="828"/>
      <c r="C142" s="828"/>
      <c r="D142" s="828"/>
      <c r="E142" s="828"/>
      <c r="F142" s="828"/>
      <c r="G142" s="828"/>
      <c r="H142" s="828"/>
      <c r="I142" s="828"/>
      <c r="J142" s="828"/>
      <c r="K142" s="828"/>
      <c r="L142" s="828"/>
      <c r="M142" s="828"/>
      <c r="N142" s="828"/>
      <c r="O142" s="828"/>
      <c r="P142" s="828"/>
      <c r="Q142" s="828"/>
      <c r="R142" s="828"/>
    </row>
    <row r="143" spans="1:18" ht="24" x14ac:dyDescent="0.25">
      <c r="A143" s="506" t="s">
        <v>8</v>
      </c>
      <c r="B143" s="490" t="s">
        <v>9</v>
      </c>
      <c r="C143" s="506" t="str">
        <f t="shared" ref="C143:R143" si="9">C32</f>
        <v>JAN</v>
      </c>
      <c r="D143" s="507" t="str">
        <f t="shared" si="9"/>
        <v>%</v>
      </c>
      <c r="E143" s="506" t="str">
        <f t="shared" si="9"/>
        <v>FEV</v>
      </c>
      <c r="F143" s="507" t="str">
        <f t="shared" si="9"/>
        <v>%</v>
      </c>
      <c r="G143" s="506" t="str">
        <f t="shared" si="9"/>
        <v>MAR</v>
      </c>
      <c r="H143" s="507" t="str">
        <f t="shared" si="9"/>
        <v>%</v>
      </c>
      <c r="I143" s="508" t="str">
        <f t="shared" si="9"/>
        <v>Trimestre</v>
      </c>
      <c r="J143" s="508" t="str">
        <f t="shared" si="9"/>
        <v>%</v>
      </c>
      <c r="K143" s="506" t="str">
        <f t="shared" si="9"/>
        <v>ABR</v>
      </c>
      <c r="L143" s="507" t="str">
        <f t="shared" si="9"/>
        <v>%</v>
      </c>
      <c r="M143" s="506" t="str">
        <f t="shared" si="9"/>
        <v>MAI</v>
      </c>
      <c r="N143" s="507" t="str">
        <f t="shared" si="9"/>
        <v>%</v>
      </c>
      <c r="O143" s="506" t="str">
        <f t="shared" si="9"/>
        <v>JUN</v>
      </c>
      <c r="P143" s="507" t="str">
        <f t="shared" si="9"/>
        <v>%</v>
      </c>
      <c r="Q143" s="508" t="str">
        <f t="shared" si="9"/>
        <v>Trimestre</v>
      </c>
      <c r="R143" s="508" t="str">
        <f t="shared" si="9"/>
        <v>%</v>
      </c>
    </row>
    <row r="144" spans="1:18" x14ac:dyDescent="0.25">
      <c r="A144" s="493" t="str">
        <f>'PAI UBS Butantã 1° SEM'!A7</f>
        <v>Enfermeiro (consulta e VD)</v>
      </c>
      <c r="B144" s="842">
        <f>'PAI UBS Butantã 1° SEM'!B7</f>
        <v>100</v>
      </c>
      <c r="C144" s="837">
        <f>'PAI UBS Butantã 1° SEM'!C7</f>
        <v>100</v>
      </c>
      <c r="D144" s="838">
        <f>'PAI UBS Butantã 1° SEM'!D7</f>
        <v>0</v>
      </c>
      <c r="E144" s="837">
        <f>'PAI UBS Butantã 1° SEM'!E7</f>
        <v>101</v>
      </c>
      <c r="F144" s="838">
        <f>'PAI UBS Butantã 1° SEM'!F7</f>
        <v>1.0000000000000009E-2</v>
      </c>
      <c r="G144" s="837">
        <f>'PAI UBS Butantã 1° SEM'!G7</f>
        <v>100</v>
      </c>
      <c r="H144" s="838">
        <f>'PAI UBS Butantã 1° SEM'!H7</f>
        <v>0</v>
      </c>
      <c r="I144" s="833">
        <f>'PAI UBS Butantã 1° SEM'!I7</f>
        <v>301</v>
      </c>
      <c r="J144" s="836">
        <f>'PAI UBS Butantã 1° SEM'!J7</f>
        <v>3.3333333333334103E-3</v>
      </c>
      <c r="K144" s="837">
        <f>'PAI UBS Butantã 1° SEM'!K7</f>
        <v>101</v>
      </c>
      <c r="L144" s="838">
        <f>'PAI UBS Butantã 1° SEM'!L7</f>
        <v>1.0000000000000009E-2</v>
      </c>
      <c r="M144" s="837">
        <f>'PAI UBS Butantã 1° SEM'!M7</f>
        <v>100</v>
      </c>
      <c r="N144" s="838">
        <f>'PAI UBS Butantã 1° SEM'!N7</f>
        <v>0</v>
      </c>
      <c r="O144" s="837">
        <f>'PAI UBS Butantã 1° SEM'!O7</f>
        <v>110</v>
      </c>
      <c r="P144" s="838">
        <f>'PAI UBS Butantã 1° SEM'!P7</f>
        <v>0.10000000000000009</v>
      </c>
      <c r="Q144" s="833">
        <f>'PAI UBS Butantã 1° SEM'!Q7</f>
        <v>311</v>
      </c>
      <c r="R144" s="839">
        <f>'PAI UBS Butantã 1° SEM'!R7</f>
        <v>3.6666666666666625E-2</v>
      </c>
    </row>
    <row r="145" spans="1:18" ht="24" x14ac:dyDescent="0.25">
      <c r="A145" s="493" t="str">
        <f>'PAI UBS Butantã 1° SEM'!A8</f>
        <v>Assistente Social (Sup de equipe)</v>
      </c>
      <c r="B145" s="842"/>
      <c r="C145" s="837"/>
      <c r="D145" s="838"/>
      <c r="E145" s="837"/>
      <c r="F145" s="838"/>
      <c r="G145" s="837"/>
      <c r="H145" s="838"/>
      <c r="I145" s="833"/>
      <c r="J145" s="836"/>
      <c r="K145" s="837"/>
      <c r="L145" s="838"/>
      <c r="M145" s="837"/>
      <c r="N145" s="838"/>
      <c r="O145" s="837"/>
      <c r="P145" s="838"/>
      <c r="Q145" s="833"/>
      <c r="R145" s="839"/>
    </row>
    <row r="146" spans="1:18" ht="24" x14ac:dyDescent="0.25">
      <c r="A146" s="639" t="str">
        <f>'PAI UBS Butantã 1° SEM'!A9</f>
        <v>Aux/Técnico de Enfermagem (procedimentos)</v>
      </c>
      <c r="B146" s="842"/>
      <c r="C146" s="837"/>
      <c r="D146" s="838"/>
      <c r="E146" s="837"/>
      <c r="F146" s="838"/>
      <c r="G146" s="837"/>
      <c r="H146" s="838"/>
      <c r="I146" s="833"/>
      <c r="J146" s="836"/>
      <c r="K146" s="837"/>
      <c r="L146" s="838"/>
      <c r="M146" s="837"/>
      <c r="N146" s="838"/>
      <c r="O146" s="837"/>
      <c r="P146" s="838"/>
      <c r="Q146" s="833"/>
      <c r="R146" s="839"/>
    </row>
    <row r="147" spans="1:18" x14ac:dyDescent="0.25">
      <c r="A147" s="493" t="str">
        <f>'PAI UBS Butantã 1° SEM'!A10</f>
        <v>Acompanhante de Idosos</v>
      </c>
      <c r="B147" s="842"/>
      <c r="C147" s="837"/>
      <c r="D147" s="838"/>
      <c r="E147" s="837"/>
      <c r="F147" s="838"/>
      <c r="G147" s="837"/>
      <c r="H147" s="838"/>
      <c r="I147" s="833"/>
      <c r="J147" s="836"/>
      <c r="K147" s="837"/>
      <c r="L147" s="838"/>
      <c r="M147" s="837"/>
      <c r="N147" s="838"/>
      <c r="O147" s="837"/>
      <c r="P147" s="838"/>
      <c r="Q147" s="833"/>
      <c r="R147" s="839"/>
    </row>
    <row r="148" spans="1:18" ht="24" x14ac:dyDescent="0.25">
      <c r="A148" s="499" t="str">
        <f>'PAI UBS Butantã 1° SEM'!A11</f>
        <v>Médico Geriatra ou Clínico (Esp Gerontologia)</v>
      </c>
      <c r="B148" s="842"/>
      <c r="C148" s="837"/>
      <c r="D148" s="838"/>
      <c r="E148" s="837"/>
      <c r="F148" s="838"/>
      <c r="G148" s="837"/>
      <c r="H148" s="838"/>
      <c r="I148" s="833"/>
      <c r="J148" s="836"/>
      <c r="K148" s="837"/>
      <c r="L148" s="838"/>
      <c r="M148" s="837"/>
      <c r="N148" s="838"/>
      <c r="O148" s="837"/>
      <c r="P148" s="838"/>
      <c r="Q148" s="833"/>
      <c r="R148" s="839"/>
    </row>
    <row r="149" spans="1:18" x14ac:dyDescent="0.25">
      <c r="A149" s="510" t="str">
        <f>'PAI UBS Butantã 1° SEM'!A12</f>
        <v>SOMA</v>
      </c>
      <c r="B149" s="494">
        <f>'PAI UBS Butantã 1° SEM'!B12</f>
        <v>100</v>
      </c>
      <c r="C149" s="504">
        <f>'PAI UBS Butantã 1° SEM'!C12</f>
        <v>100</v>
      </c>
      <c r="D149" s="496">
        <f>'PAI UBS Butantã 1° SEM'!D12</f>
        <v>0</v>
      </c>
      <c r="E149" s="504">
        <f>'PAI UBS Butantã 1° SEM'!E12</f>
        <v>101</v>
      </c>
      <c r="F149" s="496">
        <f>'PAI UBS Butantã 1° SEM'!F12</f>
        <v>1.0000000000000009E-2</v>
      </c>
      <c r="G149" s="504">
        <f>'PAI UBS Butantã 1° SEM'!G12</f>
        <v>100</v>
      </c>
      <c r="H149" s="496">
        <f>'PAI UBS Butantã 1° SEM'!H12</f>
        <v>0</v>
      </c>
      <c r="I149" s="497">
        <f>'PAI UBS Butantã 1° SEM'!I12</f>
        <v>301</v>
      </c>
      <c r="J149" s="498">
        <f>'PAI UBS Butantã 1° SEM'!J12</f>
        <v>3.3333333333334103E-3</v>
      </c>
      <c r="K149" s="504">
        <f>'PAI UBS Butantã 1° SEM'!K12</f>
        <v>101</v>
      </c>
      <c r="L149" s="496">
        <f>'PAI UBS Butantã 1° SEM'!L12</f>
        <v>1.0000000000000009E-2</v>
      </c>
      <c r="M149" s="504">
        <f>'PAI UBS Butantã 1° SEM'!M12</f>
        <v>100</v>
      </c>
      <c r="N149" s="496">
        <f>'PAI UBS Butantã 1° SEM'!N12</f>
        <v>0</v>
      </c>
      <c r="O149" s="504">
        <f>'PAI UBS Butantã 1° SEM'!O12</f>
        <v>110</v>
      </c>
      <c r="P149" s="496">
        <f>'PAI UBS Butantã 1° SEM'!P12</f>
        <v>0.10000000000000009</v>
      </c>
      <c r="Q149" s="497">
        <f>'PAI UBS Butantã 1° SEM'!Q12</f>
        <v>311</v>
      </c>
      <c r="R149" s="498">
        <f>'PAI UBS Butantã 1° SEM'!R12</f>
        <v>3.6666666666666625E-2</v>
      </c>
    </row>
    <row r="151" spans="1:18" ht="15.75" x14ac:dyDescent="0.25">
      <c r="A151" s="827" t="s">
        <v>368</v>
      </c>
      <c r="B151" s="828"/>
      <c r="C151" s="828"/>
      <c r="D151" s="828"/>
      <c r="E151" s="828"/>
      <c r="F151" s="828"/>
      <c r="G151" s="828"/>
      <c r="H151" s="828"/>
      <c r="I151" s="828"/>
      <c r="J151" s="828"/>
      <c r="K151" s="828"/>
      <c r="L151" s="828"/>
      <c r="M151" s="828"/>
      <c r="N151" s="828"/>
      <c r="O151" s="828"/>
      <c r="P151" s="828"/>
      <c r="Q151" s="828"/>
      <c r="R151" s="828"/>
    </row>
    <row r="152" spans="1:18" ht="24" x14ac:dyDescent="0.25">
      <c r="A152" s="506" t="s">
        <v>8</v>
      </c>
      <c r="B152" s="640" t="s">
        <v>9</v>
      </c>
      <c r="C152" s="506" t="str">
        <f t="shared" ref="C152:R152" si="10">C32</f>
        <v>JAN</v>
      </c>
      <c r="D152" s="507" t="str">
        <f t="shared" si="10"/>
        <v>%</v>
      </c>
      <c r="E152" s="506" t="str">
        <f t="shared" si="10"/>
        <v>FEV</v>
      </c>
      <c r="F152" s="507" t="str">
        <f t="shared" si="10"/>
        <v>%</v>
      </c>
      <c r="G152" s="506" t="str">
        <f t="shared" si="10"/>
        <v>MAR</v>
      </c>
      <c r="H152" s="507" t="str">
        <f t="shared" si="10"/>
        <v>%</v>
      </c>
      <c r="I152" s="508" t="str">
        <f t="shared" si="10"/>
        <v>Trimestre</v>
      </c>
      <c r="J152" s="508" t="str">
        <f t="shared" si="10"/>
        <v>%</v>
      </c>
      <c r="K152" s="506" t="str">
        <f t="shared" si="10"/>
        <v>ABR</v>
      </c>
      <c r="L152" s="507" t="str">
        <f t="shared" si="10"/>
        <v>%</v>
      </c>
      <c r="M152" s="506" t="str">
        <f t="shared" si="10"/>
        <v>MAI</v>
      </c>
      <c r="N152" s="507" t="str">
        <f t="shared" si="10"/>
        <v>%</v>
      </c>
      <c r="O152" s="506" t="str">
        <f t="shared" si="10"/>
        <v>JUN</v>
      </c>
      <c r="P152" s="507" t="str">
        <f t="shared" si="10"/>
        <v>%</v>
      </c>
      <c r="Q152" s="508" t="str">
        <f t="shared" si="10"/>
        <v>Trimestre</v>
      </c>
      <c r="R152" s="508" t="str">
        <f t="shared" si="10"/>
        <v>%</v>
      </c>
    </row>
    <row r="153" spans="1:18" x14ac:dyDescent="0.25">
      <c r="A153" s="509" t="str">
        <f>'HORA CERTA 1° SEM'!A7</f>
        <v>Cirurgia Geral (consulta)</v>
      </c>
      <c r="B153" s="500">
        <f>'HORA CERTA 1° SEM'!B7</f>
        <v>400</v>
      </c>
      <c r="C153" s="495">
        <f>'HORA CERTA 1° SEM'!C7</f>
        <v>72</v>
      </c>
      <c r="D153" s="496">
        <f>'HORA CERTA 1° SEM'!D7</f>
        <v>-0.82000000000000006</v>
      </c>
      <c r="E153" s="495">
        <f>'HORA CERTA 1° SEM'!E7</f>
        <v>178</v>
      </c>
      <c r="F153" s="496">
        <f>'HORA CERTA 1° SEM'!F7</f>
        <v>-0.55499999999999994</v>
      </c>
      <c r="G153" s="495">
        <f>'HORA CERTA 1° SEM'!G7</f>
        <v>179</v>
      </c>
      <c r="H153" s="496">
        <f>'HORA CERTA 1° SEM'!H7</f>
        <v>-0.55249999999999999</v>
      </c>
      <c r="I153" s="497">
        <f>'HORA CERTA 1° SEM'!I7</f>
        <v>429</v>
      </c>
      <c r="J153" s="498">
        <f>'HORA CERTA 1° SEM'!J7</f>
        <v>-0.64250000000000007</v>
      </c>
      <c r="K153" s="495">
        <f>'HORA CERTA 1° SEM'!K7</f>
        <v>97</v>
      </c>
      <c r="L153" s="496">
        <f>'HORA CERTA 1° SEM'!L7</f>
        <v>-0.75750000000000006</v>
      </c>
      <c r="M153" s="495">
        <f>'HORA CERTA 1° SEM'!M7</f>
        <v>100</v>
      </c>
      <c r="N153" s="496">
        <f>'HORA CERTA 1° SEM'!N7</f>
        <v>-0.75</v>
      </c>
      <c r="O153" s="495">
        <f>'HORA CERTA 1° SEM'!O7</f>
        <v>111</v>
      </c>
      <c r="P153" s="496">
        <f>'HORA CERTA 1° SEM'!P7</f>
        <v>-0.72249999999999992</v>
      </c>
      <c r="Q153" s="497">
        <f>'HORA CERTA 1° SEM'!Q7</f>
        <v>308</v>
      </c>
      <c r="R153" s="498">
        <f>'HORA CERTA 1° SEM'!R7</f>
        <v>-0.7433333333333334</v>
      </c>
    </row>
    <row r="154" spans="1:18" x14ac:dyDescent="0.25">
      <c r="A154" s="509" t="str">
        <f>'HORA CERTA 1° SEM'!A8</f>
        <v>Cirurgia Vascular (consulta)</v>
      </c>
      <c r="B154" s="500">
        <f>'HORA CERTA 1° SEM'!B8</f>
        <v>400</v>
      </c>
      <c r="C154" s="495">
        <f>'HORA CERTA 1° SEM'!C8</f>
        <v>0</v>
      </c>
      <c r="D154" s="496">
        <f>'HORA CERTA 1° SEM'!D8</f>
        <v>-1</v>
      </c>
      <c r="E154" s="495">
        <f>'HORA CERTA 1° SEM'!E8</f>
        <v>0</v>
      </c>
      <c r="F154" s="496">
        <f>'HORA CERTA 1° SEM'!F8</f>
        <v>-1</v>
      </c>
      <c r="G154" s="495">
        <f>'HORA CERTA 1° SEM'!G8</f>
        <v>0</v>
      </c>
      <c r="H154" s="496">
        <f>'HORA CERTA 1° SEM'!H8</f>
        <v>-1</v>
      </c>
      <c r="I154" s="497">
        <f>'HORA CERTA 1° SEM'!I8</f>
        <v>0</v>
      </c>
      <c r="J154" s="498">
        <f>'HORA CERTA 1° SEM'!J8</f>
        <v>-1</v>
      </c>
      <c r="K154" s="495">
        <f>'HORA CERTA 1° SEM'!K8</f>
        <v>0</v>
      </c>
      <c r="L154" s="496">
        <f>'HORA CERTA 1° SEM'!L8</f>
        <v>-1</v>
      </c>
      <c r="M154" s="495">
        <f>'HORA CERTA 1° SEM'!M8</f>
        <v>0</v>
      </c>
      <c r="N154" s="496">
        <f>'HORA CERTA 1° SEM'!N8</f>
        <v>-1</v>
      </c>
      <c r="O154" s="495">
        <f>'HORA CERTA 1° SEM'!O8</f>
        <v>0</v>
      </c>
      <c r="P154" s="496">
        <f>'HORA CERTA 1° SEM'!P8</f>
        <v>-1</v>
      </c>
      <c r="Q154" s="497">
        <f>'HORA CERTA 1° SEM'!Q8</f>
        <v>0</v>
      </c>
      <c r="R154" s="498">
        <f>'HORA CERTA 1° SEM'!R8</f>
        <v>-1</v>
      </c>
    </row>
    <row r="155" spans="1:18" x14ac:dyDescent="0.25">
      <c r="A155" s="493" t="str">
        <f>'HORA CERTA 1° SEM'!A9</f>
        <v>Dermatologia - (consulta)</v>
      </c>
      <c r="B155" s="500">
        <f>'HORA CERTA 1° SEM'!B9</f>
        <v>300</v>
      </c>
      <c r="C155" s="495">
        <f>'HORA CERTA 1° SEM'!C9</f>
        <v>0</v>
      </c>
      <c r="D155" s="496">
        <f>'HORA CERTA 1° SEM'!D9</f>
        <v>-1</v>
      </c>
      <c r="E155" s="495">
        <f>'HORA CERTA 1° SEM'!E9</f>
        <v>0</v>
      </c>
      <c r="F155" s="496">
        <f>'HORA CERTA 1° SEM'!F9</f>
        <v>-1</v>
      </c>
      <c r="G155" s="495">
        <f>'HORA CERTA 1° SEM'!G9</f>
        <v>0</v>
      </c>
      <c r="H155" s="496">
        <f>'HORA CERTA 1° SEM'!H9</f>
        <v>-1</v>
      </c>
      <c r="I155" s="497">
        <f>'HORA CERTA 1° SEM'!I9</f>
        <v>0</v>
      </c>
      <c r="J155" s="498">
        <f>'HORA CERTA 1° SEM'!J9</f>
        <v>-1</v>
      </c>
      <c r="K155" s="495">
        <f>'HORA CERTA 1° SEM'!K9</f>
        <v>0</v>
      </c>
      <c r="L155" s="496">
        <f>'HORA CERTA 1° SEM'!L9</f>
        <v>-1</v>
      </c>
      <c r="M155" s="495">
        <f>'HORA CERTA 1° SEM'!M9</f>
        <v>0</v>
      </c>
      <c r="N155" s="496">
        <f>'HORA CERTA 1° SEM'!N9</f>
        <v>-1</v>
      </c>
      <c r="O155" s="495">
        <f>'HORA CERTA 1° SEM'!O9</f>
        <v>0</v>
      </c>
      <c r="P155" s="496">
        <f>'HORA CERTA 1° SEM'!P9</f>
        <v>-1</v>
      </c>
      <c r="Q155" s="497">
        <f>'HORA CERTA 1° SEM'!Q9</f>
        <v>0</v>
      </c>
      <c r="R155" s="498">
        <f>'HORA CERTA 1° SEM'!R9</f>
        <v>-1</v>
      </c>
    </row>
    <row r="156" spans="1:18" x14ac:dyDescent="0.25">
      <c r="A156" s="509" t="str">
        <f>'HORA CERTA 1° SEM'!A10</f>
        <v>Oftalmologia (consulta)</v>
      </c>
      <c r="B156" s="500">
        <f>'HORA CERTA 1° SEM'!B10</f>
        <v>300</v>
      </c>
      <c r="C156" s="495">
        <f>'HORA CERTA 1° SEM'!C10</f>
        <v>0</v>
      </c>
      <c r="D156" s="496">
        <f>'HORA CERTA 1° SEM'!D10</f>
        <v>-1</v>
      </c>
      <c r="E156" s="495">
        <f>'HORA CERTA 1° SEM'!E10</f>
        <v>0</v>
      </c>
      <c r="F156" s="496">
        <f>'HORA CERTA 1° SEM'!F10</f>
        <v>-1</v>
      </c>
      <c r="G156" s="495">
        <f>'HORA CERTA 1° SEM'!G10</f>
        <v>0</v>
      </c>
      <c r="H156" s="496">
        <f>'HORA CERTA 1° SEM'!H10</f>
        <v>-1</v>
      </c>
      <c r="I156" s="497">
        <f>'HORA CERTA 1° SEM'!I10</f>
        <v>0</v>
      </c>
      <c r="J156" s="498">
        <f>'HORA CERTA 1° SEM'!J10</f>
        <v>-1</v>
      </c>
      <c r="K156" s="495">
        <f>'HORA CERTA 1° SEM'!K10</f>
        <v>0</v>
      </c>
      <c r="L156" s="496">
        <f>'HORA CERTA 1° SEM'!L10</f>
        <v>-1</v>
      </c>
      <c r="M156" s="495">
        <f>'HORA CERTA 1° SEM'!M10</f>
        <v>0</v>
      </c>
      <c r="N156" s="496">
        <f>'HORA CERTA 1° SEM'!N10</f>
        <v>-1</v>
      </c>
      <c r="O156" s="495">
        <f>'HORA CERTA 1° SEM'!O10</f>
        <v>0</v>
      </c>
      <c r="P156" s="496">
        <f>'HORA CERTA 1° SEM'!P10</f>
        <v>-1</v>
      </c>
      <c r="Q156" s="497">
        <f>'HORA CERTA 1° SEM'!Q10</f>
        <v>0</v>
      </c>
      <c r="R156" s="498">
        <f>'HORA CERTA 1° SEM'!R10</f>
        <v>-1</v>
      </c>
    </row>
    <row r="157" spans="1:18" x14ac:dyDescent="0.25">
      <c r="A157" s="509" t="str">
        <f>'HORA CERTA 1° SEM'!A11</f>
        <v>Ortopedia (consulta)</v>
      </c>
      <c r="B157" s="500">
        <f>'HORA CERTA 1° SEM'!B11</f>
        <v>300</v>
      </c>
      <c r="C157" s="495">
        <f>'HORA CERTA 1° SEM'!C11</f>
        <v>12</v>
      </c>
      <c r="D157" s="496">
        <f>'HORA CERTA 1° SEM'!D11</f>
        <v>-0.96</v>
      </c>
      <c r="E157" s="495">
        <f>'HORA CERTA 1° SEM'!E11</f>
        <v>13</v>
      </c>
      <c r="F157" s="496">
        <f>'HORA CERTA 1° SEM'!F11</f>
        <v>-0.95666666666666667</v>
      </c>
      <c r="G157" s="495">
        <f>'HORA CERTA 1° SEM'!G11</f>
        <v>0</v>
      </c>
      <c r="H157" s="496">
        <f>'HORA CERTA 1° SEM'!H11</f>
        <v>-1</v>
      </c>
      <c r="I157" s="497">
        <f>'HORA CERTA 1° SEM'!I11</f>
        <v>25</v>
      </c>
      <c r="J157" s="498">
        <f>'HORA CERTA 1° SEM'!J11</f>
        <v>-0.97222222222222221</v>
      </c>
      <c r="K157" s="495">
        <f>'HORA CERTA 1° SEM'!K11</f>
        <v>8</v>
      </c>
      <c r="L157" s="496">
        <f>'HORA CERTA 1° SEM'!L11</f>
        <v>-0.97333333333333338</v>
      </c>
      <c r="M157" s="495">
        <f>'HORA CERTA 1° SEM'!M11</f>
        <v>19</v>
      </c>
      <c r="N157" s="496">
        <f>'HORA CERTA 1° SEM'!N11</f>
        <v>-0.93666666666666665</v>
      </c>
      <c r="O157" s="495">
        <f>'HORA CERTA 1° SEM'!O11</f>
        <v>0</v>
      </c>
      <c r="P157" s="496">
        <f>'HORA CERTA 1° SEM'!P11</f>
        <v>-1</v>
      </c>
      <c r="Q157" s="497">
        <f>'HORA CERTA 1° SEM'!Q11</f>
        <v>27</v>
      </c>
      <c r="R157" s="498">
        <f>'HORA CERTA 1° SEM'!R11</f>
        <v>-0.97</v>
      </c>
    </row>
    <row r="158" spans="1:18" x14ac:dyDescent="0.25">
      <c r="A158" s="509" t="str">
        <f>'HORA CERTA 1° SEM'!A12</f>
        <v>Otorrinolaringologia (consulta)</v>
      </c>
      <c r="B158" s="500">
        <f>'HORA CERTA 1° SEM'!B12</f>
        <v>300</v>
      </c>
      <c r="C158" s="495">
        <f>'HORA CERTA 1° SEM'!C12</f>
        <v>0</v>
      </c>
      <c r="D158" s="496">
        <f>'HORA CERTA 1° SEM'!D12</f>
        <v>-1</v>
      </c>
      <c r="E158" s="495">
        <f>'HORA CERTA 1° SEM'!E12</f>
        <v>0</v>
      </c>
      <c r="F158" s="496">
        <f>'HORA CERTA 1° SEM'!F12</f>
        <v>-1</v>
      </c>
      <c r="G158" s="495">
        <f>'HORA CERTA 1° SEM'!G12</f>
        <v>0</v>
      </c>
      <c r="H158" s="496">
        <f>'HORA CERTA 1° SEM'!H12</f>
        <v>-1</v>
      </c>
      <c r="I158" s="497">
        <f>'HORA CERTA 1° SEM'!I12</f>
        <v>0</v>
      </c>
      <c r="J158" s="498">
        <f>'HORA CERTA 1° SEM'!J12</f>
        <v>-1</v>
      </c>
      <c r="K158" s="495">
        <f>'HORA CERTA 1° SEM'!K12</f>
        <v>0</v>
      </c>
      <c r="L158" s="496">
        <f>'HORA CERTA 1° SEM'!L12</f>
        <v>-1</v>
      </c>
      <c r="M158" s="495">
        <f>'HORA CERTA 1° SEM'!M12</f>
        <v>162</v>
      </c>
      <c r="N158" s="496">
        <f>'HORA CERTA 1° SEM'!N12</f>
        <v>-0.45999999999999996</v>
      </c>
      <c r="O158" s="495">
        <f>'HORA CERTA 1° SEM'!O12</f>
        <v>0</v>
      </c>
      <c r="P158" s="496">
        <f>'HORA CERTA 1° SEM'!P12</f>
        <v>-1</v>
      </c>
      <c r="Q158" s="497">
        <f>'HORA CERTA 1° SEM'!Q12</f>
        <v>162</v>
      </c>
      <c r="R158" s="498">
        <f>'HORA CERTA 1° SEM'!R12</f>
        <v>-0.82000000000000006</v>
      </c>
    </row>
    <row r="159" spans="1:18" x14ac:dyDescent="0.25">
      <c r="A159" s="509" t="str">
        <f>'HORA CERTA 1° SEM'!A13</f>
        <v>Proctologia (consulta)</v>
      </c>
      <c r="B159" s="500">
        <f>'HORA CERTA 1° SEM'!B13</f>
        <v>400</v>
      </c>
      <c r="C159" s="495">
        <f>'HORA CERTA 1° SEM'!C13</f>
        <v>0</v>
      </c>
      <c r="D159" s="496">
        <f>'HORA CERTA 1° SEM'!D13</f>
        <v>-1</v>
      </c>
      <c r="E159" s="495">
        <f>'HORA CERTA 1° SEM'!E13</f>
        <v>0</v>
      </c>
      <c r="F159" s="496">
        <f>'HORA CERTA 1° SEM'!F13</f>
        <v>-1</v>
      </c>
      <c r="G159" s="495">
        <f>'HORA CERTA 1° SEM'!G13</f>
        <v>0</v>
      </c>
      <c r="H159" s="496">
        <f>'HORA CERTA 1° SEM'!H13</f>
        <v>-1</v>
      </c>
      <c r="I159" s="497">
        <f>'HORA CERTA 1° SEM'!I13</f>
        <v>0</v>
      </c>
      <c r="J159" s="498">
        <f>'HORA CERTA 1° SEM'!J13</f>
        <v>-1</v>
      </c>
      <c r="K159" s="495">
        <f>'HORA CERTA 1° SEM'!K13</f>
        <v>0</v>
      </c>
      <c r="L159" s="496">
        <f>'HORA CERTA 1° SEM'!L13</f>
        <v>-1</v>
      </c>
      <c r="M159" s="495">
        <f>'HORA CERTA 1° SEM'!M13</f>
        <v>0</v>
      </c>
      <c r="N159" s="496">
        <f>'HORA CERTA 1° SEM'!N13</f>
        <v>-1</v>
      </c>
      <c r="O159" s="495">
        <f>'HORA CERTA 1° SEM'!O13</f>
        <v>0</v>
      </c>
      <c r="P159" s="496">
        <f>'HORA CERTA 1° SEM'!P13</f>
        <v>-1</v>
      </c>
      <c r="Q159" s="497">
        <f>'HORA CERTA 1° SEM'!Q13</f>
        <v>0</v>
      </c>
      <c r="R159" s="498">
        <f>'HORA CERTA 1° SEM'!R13</f>
        <v>-1</v>
      </c>
    </row>
    <row r="160" spans="1:18" x14ac:dyDescent="0.25">
      <c r="A160" s="509" t="str">
        <f>'HORA CERTA 1° SEM'!A14</f>
        <v>Urologia (consulta)</v>
      </c>
      <c r="B160" s="500">
        <f>'HORA CERTA 1° SEM'!B14</f>
        <v>400</v>
      </c>
      <c r="C160" s="495">
        <f>'HORA CERTA 1° SEM'!C14</f>
        <v>0</v>
      </c>
      <c r="D160" s="496">
        <f>'HORA CERTA 1° SEM'!D14</f>
        <v>-1</v>
      </c>
      <c r="E160" s="495">
        <f>'HORA CERTA 1° SEM'!E14</f>
        <v>0</v>
      </c>
      <c r="F160" s="496">
        <f>'HORA CERTA 1° SEM'!F14</f>
        <v>-1</v>
      </c>
      <c r="G160" s="495">
        <f>'HORA CERTA 1° SEM'!G14</f>
        <v>0</v>
      </c>
      <c r="H160" s="496">
        <f>'HORA CERTA 1° SEM'!H14</f>
        <v>-1</v>
      </c>
      <c r="I160" s="497">
        <f>'HORA CERTA 1° SEM'!I14</f>
        <v>0</v>
      </c>
      <c r="J160" s="498">
        <f>'HORA CERTA 1° SEM'!J14</f>
        <v>-1</v>
      </c>
      <c r="K160" s="495">
        <f>'HORA CERTA 1° SEM'!K14</f>
        <v>0</v>
      </c>
      <c r="L160" s="496">
        <f>'HORA CERTA 1° SEM'!L14</f>
        <v>-1</v>
      </c>
      <c r="M160" s="495">
        <f>'HORA CERTA 1° SEM'!M14</f>
        <v>0</v>
      </c>
      <c r="N160" s="496">
        <f>'HORA CERTA 1° SEM'!N14</f>
        <v>-1</v>
      </c>
      <c r="O160" s="495">
        <f>'HORA CERTA 1° SEM'!O14</f>
        <v>0</v>
      </c>
      <c r="P160" s="496">
        <f>'HORA CERTA 1° SEM'!P14</f>
        <v>-1</v>
      </c>
      <c r="Q160" s="497">
        <f>'HORA CERTA 1° SEM'!Q14</f>
        <v>0</v>
      </c>
      <c r="R160" s="498">
        <f>'HORA CERTA 1° SEM'!R14</f>
        <v>-1</v>
      </c>
    </row>
    <row r="161" spans="1:18" x14ac:dyDescent="0.25">
      <c r="A161" s="510" t="str">
        <f>'HORA CERTA 1° SEM'!A15</f>
        <v>SOMA</v>
      </c>
      <c r="B161" s="500">
        <f>'HORA CERTA 1° SEM'!B15</f>
        <v>2800</v>
      </c>
      <c r="C161" s="504">
        <f>'HORA CERTA 1° SEM'!C15</f>
        <v>84</v>
      </c>
      <c r="D161" s="496">
        <f>'HORA CERTA 1° SEM'!D15</f>
        <v>-0.97</v>
      </c>
      <c r="E161" s="504">
        <f>'HORA CERTA 1° SEM'!E15</f>
        <v>191</v>
      </c>
      <c r="F161" s="496">
        <f>'HORA CERTA 1° SEM'!F15</f>
        <v>-0.93178571428571433</v>
      </c>
      <c r="G161" s="504">
        <f>'HORA CERTA 1° SEM'!G15</f>
        <v>179</v>
      </c>
      <c r="H161" s="496">
        <f>'HORA CERTA 1° SEM'!H15</f>
        <v>-0.93607142857142855</v>
      </c>
      <c r="I161" s="497">
        <f>'HORA CERTA 1° SEM'!I15</f>
        <v>454</v>
      </c>
      <c r="J161" s="498">
        <f>'HORA CERTA 1° SEM'!J15</f>
        <v>-0.94595238095238099</v>
      </c>
      <c r="K161" s="504">
        <f>'HORA CERTA 1° SEM'!K15</f>
        <v>105</v>
      </c>
      <c r="L161" s="496">
        <f>'HORA CERTA 1° SEM'!L15</f>
        <v>-0.96250000000000002</v>
      </c>
      <c r="M161" s="504">
        <f>'HORA CERTA 1° SEM'!M15</f>
        <v>281</v>
      </c>
      <c r="N161" s="496">
        <f>'HORA CERTA 1° SEM'!N15</f>
        <v>-0.89964285714285719</v>
      </c>
      <c r="O161" s="504">
        <f>'HORA CERTA 1° SEM'!O15</f>
        <v>111</v>
      </c>
      <c r="P161" s="496">
        <f>'HORA CERTA 1° SEM'!P15</f>
        <v>-0.96035714285714291</v>
      </c>
      <c r="Q161" s="497">
        <f>'HORA CERTA 1° SEM'!Q15</f>
        <v>497</v>
      </c>
      <c r="R161" s="498">
        <f>'HORA CERTA 1° SEM'!R15</f>
        <v>-0.9408333333333333</v>
      </c>
    </row>
    <row r="162" spans="1:18" x14ac:dyDescent="0.25">
      <c r="A162" s="641"/>
      <c r="B162" s="641"/>
      <c r="C162" s="641"/>
      <c r="D162" s="641"/>
      <c r="E162" s="641"/>
      <c r="F162" s="641"/>
      <c r="G162" s="641"/>
      <c r="H162" s="641"/>
      <c r="I162" s="641"/>
      <c r="J162" s="641"/>
      <c r="K162" s="641"/>
      <c r="L162" s="641"/>
      <c r="M162" s="641"/>
      <c r="N162" s="641"/>
      <c r="O162" s="641"/>
      <c r="P162" s="641"/>
      <c r="Q162" s="641"/>
      <c r="R162" s="641"/>
    </row>
    <row r="163" spans="1:18" ht="15.75" x14ac:dyDescent="0.25">
      <c r="A163" s="834" t="s">
        <v>368</v>
      </c>
      <c r="B163" s="835"/>
      <c r="C163" s="835"/>
      <c r="D163" s="835"/>
      <c r="E163" s="835"/>
      <c r="F163" s="835"/>
      <c r="G163" s="835"/>
      <c r="H163" s="835"/>
      <c r="I163" s="835"/>
      <c r="J163" s="835"/>
      <c r="K163" s="835"/>
      <c r="L163" s="835"/>
      <c r="M163" s="835"/>
      <c r="N163" s="835"/>
      <c r="O163" s="835"/>
      <c r="P163" s="835"/>
      <c r="Q163" s="835"/>
      <c r="R163" s="835"/>
    </row>
    <row r="164" spans="1:18" ht="24" x14ac:dyDescent="0.25">
      <c r="A164" s="506" t="s">
        <v>8</v>
      </c>
      <c r="B164" s="640" t="s">
        <v>9</v>
      </c>
      <c r="C164" s="506" t="str">
        <f t="shared" ref="C164:R164" si="11">C152</f>
        <v>JAN</v>
      </c>
      <c r="D164" s="507" t="str">
        <f t="shared" si="11"/>
        <v>%</v>
      </c>
      <c r="E164" s="506" t="str">
        <f t="shared" si="11"/>
        <v>FEV</v>
      </c>
      <c r="F164" s="507" t="str">
        <f t="shared" si="11"/>
        <v>%</v>
      </c>
      <c r="G164" s="506" t="str">
        <f t="shared" si="11"/>
        <v>MAR</v>
      </c>
      <c r="H164" s="507" t="str">
        <f t="shared" si="11"/>
        <v>%</v>
      </c>
      <c r="I164" s="508" t="str">
        <f t="shared" si="11"/>
        <v>Trimestre</v>
      </c>
      <c r="J164" s="508" t="str">
        <f t="shared" si="11"/>
        <v>%</v>
      </c>
      <c r="K164" s="506" t="str">
        <f t="shared" si="11"/>
        <v>ABR</v>
      </c>
      <c r="L164" s="507" t="str">
        <f t="shared" si="11"/>
        <v>%</v>
      </c>
      <c r="M164" s="506" t="str">
        <f t="shared" si="11"/>
        <v>MAI</v>
      </c>
      <c r="N164" s="507" t="str">
        <f t="shared" si="11"/>
        <v>%</v>
      </c>
      <c r="O164" s="506" t="str">
        <f t="shared" si="11"/>
        <v>JUN</v>
      </c>
      <c r="P164" s="507" t="str">
        <f t="shared" si="11"/>
        <v>%</v>
      </c>
      <c r="Q164" s="508" t="str">
        <f t="shared" si="11"/>
        <v>Trimestre</v>
      </c>
      <c r="R164" s="508" t="str">
        <f t="shared" si="11"/>
        <v>%</v>
      </c>
    </row>
    <row r="165" spans="1:18" x14ac:dyDescent="0.25">
      <c r="A165" s="509" t="str">
        <f>'HORA CERTA 1° SEM'!A19</f>
        <v>Cirurgia</v>
      </c>
      <c r="B165" s="500">
        <f>'HORA CERTA 1° SEM'!B19</f>
        <v>240</v>
      </c>
      <c r="C165" s="495">
        <f>'HORA CERTA 1° SEM'!C19</f>
        <v>40</v>
      </c>
      <c r="D165" s="496">
        <f>'HORA CERTA 1° SEM'!D19</f>
        <v>-0.83333333333333337</v>
      </c>
      <c r="E165" s="495">
        <f>'HORA CERTA 1° SEM'!E19</f>
        <v>74</v>
      </c>
      <c r="F165" s="496">
        <f>'HORA CERTA 1° SEM'!F19</f>
        <v>-0.69166666666666665</v>
      </c>
      <c r="G165" s="495">
        <f>'HORA CERTA 1° SEM'!G19</f>
        <v>79</v>
      </c>
      <c r="H165" s="496">
        <f>'HORA CERTA 1° SEM'!H19</f>
        <v>-0.67083333333333339</v>
      </c>
      <c r="I165" s="497">
        <f>'HORA CERTA 1° SEM'!I19</f>
        <v>193</v>
      </c>
      <c r="J165" s="498">
        <f>'HORA CERTA 1° SEM'!J19</f>
        <v>-0.73194444444444451</v>
      </c>
      <c r="K165" s="495">
        <f>'HORA CERTA 1° SEM'!K19</f>
        <v>73</v>
      </c>
      <c r="L165" s="496">
        <f>'HORA CERTA 1° SEM'!L19</f>
        <v>-0.6958333333333333</v>
      </c>
      <c r="M165" s="495">
        <f>'HORA CERTA 1° SEM'!M19</f>
        <v>89</v>
      </c>
      <c r="N165" s="496">
        <f>'HORA CERTA 1° SEM'!N19</f>
        <v>-0.62916666666666665</v>
      </c>
      <c r="O165" s="495">
        <f>'HORA CERTA 1° SEM'!O19</f>
        <v>100</v>
      </c>
      <c r="P165" s="496">
        <f>'HORA CERTA 1° SEM'!P19</f>
        <v>-0.58333333333333326</v>
      </c>
      <c r="Q165" s="497">
        <f>'HORA CERTA 1° SEM'!Q19</f>
        <v>262</v>
      </c>
      <c r="R165" s="498">
        <f>'HORA CERTA 1° SEM'!R19</f>
        <v>-0.63611111111111107</v>
      </c>
    </row>
    <row r="166" spans="1:18" x14ac:dyDescent="0.25">
      <c r="A166" s="510" t="str">
        <f>'HORA CERTA 1° SEM'!A20</f>
        <v>SOMA</v>
      </c>
      <c r="B166" s="500">
        <f>'HORA CERTA 1° SEM'!B20</f>
        <v>240</v>
      </c>
      <c r="C166" s="504">
        <f>'HORA CERTA 1° SEM'!C20</f>
        <v>40</v>
      </c>
      <c r="D166" s="496">
        <f>'HORA CERTA 1° SEM'!D20</f>
        <v>-0.83333333333333337</v>
      </c>
      <c r="E166" s="504">
        <f>'HORA CERTA 1° SEM'!E20</f>
        <v>74</v>
      </c>
      <c r="F166" s="496">
        <f>'HORA CERTA 1° SEM'!F20</f>
        <v>-0.69166666666666665</v>
      </c>
      <c r="G166" s="504">
        <f>'HORA CERTA 1° SEM'!G20</f>
        <v>79</v>
      </c>
      <c r="H166" s="496">
        <f>'HORA CERTA 1° SEM'!H20</f>
        <v>-0.67083333333333339</v>
      </c>
      <c r="I166" s="497">
        <f>'HORA CERTA 1° SEM'!I20</f>
        <v>193</v>
      </c>
      <c r="J166" s="498">
        <f>'HORA CERTA 1° SEM'!J20</f>
        <v>-0.73194444444444451</v>
      </c>
      <c r="K166" s="504">
        <f>'HORA CERTA 1° SEM'!K20</f>
        <v>73</v>
      </c>
      <c r="L166" s="496">
        <f>'HORA CERTA 1° SEM'!L20</f>
        <v>-0.6958333333333333</v>
      </c>
      <c r="M166" s="504">
        <f>'HORA CERTA 1° SEM'!M20</f>
        <v>89</v>
      </c>
      <c r="N166" s="496">
        <f>'HORA CERTA 1° SEM'!N20</f>
        <v>-0.62916666666666665</v>
      </c>
      <c r="O166" s="504">
        <f>'HORA CERTA 1° SEM'!O20</f>
        <v>100</v>
      </c>
      <c r="P166" s="496">
        <f>'HORA CERTA 1° SEM'!P20</f>
        <v>-0.58333333333333326</v>
      </c>
      <c r="Q166" s="642">
        <f>'HORA CERTA 1° SEM'!Q20</f>
        <v>262</v>
      </c>
      <c r="R166" s="498">
        <f>'HORA CERTA 1° SEM'!R20</f>
        <v>-0.63611111111111107</v>
      </c>
    </row>
    <row r="168" spans="1:18" s="641" customFormat="1" ht="15.75" x14ac:dyDescent="0.25">
      <c r="A168" s="827" t="s">
        <v>369</v>
      </c>
      <c r="B168" s="828"/>
      <c r="C168" s="828"/>
      <c r="D168" s="828"/>
      <c r="E168" s="828"/>
      <c r="F168" s="828"/>
      <c r="G168" s="828"/>
      <c r="H168" s="828"/>
      <c r="I168" s="828"/>
      <c r="J168" s="828"/>
      <c r="K168" s="828"/>
      <c r="L168" s="828"/>
      <c r="M168" s="828"/>
      <c r="N168" s="828"/>
      <c r="O168" s="828"/>
      <c r="P168" s="828"/>
      <c r="Q168" s="828"/>
      <c r="R168" s="828"/>
    </row>
    <row r="169" spans="1:18" s="641" customFormat="1" ht="24.75" thickBot="1" x14ac:dyDescent="0.3">
      <c r="A169" s="555" t="s">
        <v>8</v>
      </c>
      <c r="B169" s="556" t="s">
        <v>9</v>
      </c>
      <c r="C169" s="557" t="str">
        <f t="shared" ref="C169:R169" si="12">C164</f>
        <v>JAN</v>
      </c>
      <c r="D169" s="558" t="str">
        <f t="shared" si="12"/>
        <v>%</v>
      </c>
      <c r="E169" s="557" t="str">
        <f t="shared" si="12"/>
        <v>FEV</v>
      </c>
      <c r="F169" s="558" t="str">
        <f t="shared" si="12"/>
        <v>%</v>
      </c>
      <c r="G169" s="557" t="str">
        <f t="shared" si="12"/>
        <v>MAR</v>
      </c>
      <c r="H169" s="558" t="str">
        <f t="shared" si="12"/>
        <v>%</v>
      </c>
      <c r="I169" s="559" t="str">
        <f t="shared" si="12"/>
        <v>Trimestre</v>
      </c>
      <c r="J169" s="559" t="str">
        <f t="shared" si="12"/>
        <v>%</v>
      </c>
      <c r="K169" s="557" t="str">
        <f t="shared" si="12"/>
        <v>ABR</v>
      </c>
      <c r="L169" s="558" t="str">
        <f t="shared" si="12"/>
        <v>%</v>
      </c>
      <c r="M169" s="557" t="str">
        <f t="shared" si="12"/>
        <v>MAI</v>
      </c>
      <c r="N169" s="558" t="str">
        <f t="shared" si="12"/>
        <v>%</v>
      </c>
      <c r="O169" s="557" t="str">
        <f t="shared" si="12"/>
        <v>JUN</v>
      </c>
      <c r="P169" s="558" t="str">
        <f t="shared" si="12"/>
        <v>%</v>
      </c>
      <c r="Q169" s="559" t="str">
        <f t="shared" si="12"/>
        <v>Trimestre</v>
      </c>
      <c r="R169" s="559" t="str">
        <f t="shared" si="12"/>
        <v>%</v>
      </c>
    </row>
    <row r="170" spans="1:18" s="641" customFormat="1" ht="15.75" thickTop="1" x14ac:dyDescent="0.25">
      <c r="A170" s="706" t="str">
        <f>'HORA CERTA 1° SEM'!A24</f>
        <v>Ecocardiograma</v>
      </c>
      <c r="B170" s="500">
        <f>'HORA CERTA 1° SEM'!B24</f>
        <v>288</v>
      </c>
      <c r="C170" s="495">
        <f>'HORA CERTA 1° SEM'!C24</f>
        <v>0</v>
      </c>
      <c r="D170" s="496">
        <f>'HORA CERTA 1° SEM'!D24</f>
        <v>-1</v>
      </c>
      <c r="E170" s="495">
        <f>'HORA CERTA 1° SEM'!E24</f>
        <v>0</v>
      </c>
      <c r="F170" s="496">
        <f>'HORA CERTA 1° SEM'!F24</f>
        <v>-1</v>
      </c>
      <c r="G170" s="495">
        <f>'HORA CERTA 1° SEM'!G24</f>
        <v>138</v>
      </c>
      <c r="H170" s="496">
        <f>'HORA CERTA 1° SEM'!H24</f>
        <v>-0.52083333333333326</v>
      </c>
      <c r="I170" s="497">
        <f>'HORA CERTA 1° SEM'!I24</f>
        <v>138</v>
      </c>
      <c r="J170" s="498">
        <f>'HORA CERTA 1° SEM'!J24</f>
        <v>-0.84027777777777779</v>
      </c>
      <c r="K170" s="495">
        <f>'HORA CERTA 1° SEM'!K24</f>
        <v>363</v>
      </c>
      <c r="L170" s="496">
        <f>'HORA CERTA 1° SEM'!L24</f>
        <v>0.26041666666666674</v>
      </c>
      <c r="M170" s="495">
        <f>'HORA CERTA 1° SEM'!M24</f>
        <v>241</v>
      </c>
      <c r="N170" s="496">
        <f>'HORA CERTA 1° SEM'!N24</f>
        <v>-0.16319444444444442</v>
      </c>
      <c r="O170" s="495">
        <f>'HORA CERTA 1° SEM'!O24</f>
        <v>147</v>
      </c>
      <c r="P170" s="496">
        <f>'HORA CERTA 1° SEM'!P24</f>
        <v>-0.48958333333333337</v>
      </c>
      <c r="Q170" s="497">
        <f>'HORA CERTA 1° SEM'!Q24</f>
        <v>751</v>
      </c>
      <c r="R170" s="498">
        <f>'HORA CERTA 1° SEM'!R24</f>
        <v>-0.13078703703703709</v>
      </c>
    </row>
    <row r="171" spans="1:18" s="641" customFormat="1" x14ac:dyDescent="0.25">
      <c r="A171" s="509" t="str">
        <f>'HORA CERTA 1° SEM'!A25</f>
        <v>Eletrocardiograma</v>
      </c>
      <c r="B171" s="561">
        <f>'HORA CERTA 1° SEM'!B25</f>
        <v>480</v>
      </c>
      <c r="C171" s="562">
        <f>'HORA CERTA 1° SEM'!C25</f>
        <v>0</v>
      </c>
      <c r="D171" s="496">
        <f>'HORA CERTA 1° SEM'!D25</f>
        <v>-1</v>
      </c>
      <c r="E171" s="562">
        <f>'HORA CERTA 1° SEM'!E25</f>
        <v>0</v>
      </c>
      <c r="F171" s="496">
        <f>'HORA CERTA 1° SEM'!F25</f>
        <v>-1</v>
      </c>
      <c r="G171" s="562">
        <f>'HORA CERTA 1° SEM'!G25</f>
        <v>0</v>
      </c>
      <c r="H171" s="551">
        <f>'HORA CERTA 1° SEM'!H25</f>
        <v>-1</v>
      </c>
      <c r="I171" s="552">
        <f>'HORA CERTA 1° SEM'!I25</f>
        <v>0</v>
      </c>
      <c r="J171" s="553">
        <f>'HORA CERTA 1° SEM'!J25</f>
        <v>-1</v>
      </c>
      <c r="K171" s="562">
        <f>'HORA CERTA 1° SEM'!K25</f>
        <v>12</v>
      </c>
      <c r="L171" s="551">
        <f>'HORA CERTA 1° SEM'!L25</f>
        <v>-0.97499999999999998</v>
      </c>
      <c r="M171" s="562">
        <f>'HORA CERTA 1° SEM'!M25</f>
        <v>141</v>
      </c>
      <c r="N171" s="551">
        <f>'HORA CERTA 1° SEM'!N25</f>
        <v>-0.70625000000000004</v>
      </c>
      <c r="O171" s="562">
        <f>'HORA CERTA 1° SEM'!O25</f>
        <v>153</v>
      </c>
      <c r="P171" s="551">
        <f>'HORA CERTA 1° SEM'!P25</f>
        <v>-0.68125000000000002</v>
      </c>
      <c r="Q171" s="552">
        <f>'HORA CERTA 1° SEM'!Q25</f>
        <v>306</v>
      </c>
      <c r="R171" s="553">
        <f>'HORA CERTA 1° SEM'!R25</f>
        <v>-0.78749999999999998</v>
      </c>
    </row>
    <row r="172" spans="1:18" s="641" customFormat="1" x14ac:dyDescent="0.25">
      <c r="A172" s="509" t="str">
        <f>'HORA CERTA 1° SEM'!A26</f>
        <v>Holter</v>
      </c>
      <c r="B172" s="561">
        <f>'HORA CERTA 1° SEM'!B26</f>
        <v>100</v>
      </c>
      <c r="C172" s="562">
        <f>'HORA CERTA 1° SEM'!C26</f>
        <v>0</v>
      </c>
      <c r="D172" s="496">
        <f>'HORA CERTA 1° SEM'!D26</f>
        <v>-1</v>
      </c>
      <c r="E172" s="562">
        <f>'HORA CERTA 1° SEM'!E26</f>
        <v>0</v>
      </c>
      <c r="F172" s="496">
        <f>'HORA CERTA 1° SEM'!F26</f>
        <v>-1</v>
      </c>
      <c r="G172" s="562">
        <f>'HORA CERTA 1° SEM'!G26</f>
        <v>0</v>
      </c>
      <c r="H172" s="551">
        <f>'HORA CERTA 1° SEM'!H26</f>
        <v>-1</v>
      </c>
      <c r="I172" s="552">
        <f>'HORA CERTA 1° SEM'!I26</f>
        <v>0</v>
      </c>
      <c r="J172" s="553">
        <f>'HORA CERTA 1° SEM'!J26</f>
        <v>-1</v>
      </c>
      <c r="K172" s="562">
        <f>'HORA CERTA 1° SEM'!K26</f>
        <v>0</v>
      </c>
      <c r="L172" s="551">
        <f>'HORA CERTA 1° SEM'!L26</f>
        <v>-1</v>
      </c>
      <c r="M172" s="562">
        <f>'HORA CERTA 1° SEM'!M26</f>
        <v>36</v>
      </c>
      <c r="N172" s="551">
        <f>'HORA CERTA 1° SEM'!N26</f>
        <v>-0.64</v>
      </c>
      <c r="O172" s="562">
        <f>'HORA CERTA 1° SEM'!O26</f>
        <v>38</v>
      </c>
      <c r="P172" s="551">
        <f>'HORA CERTA 1° SEM'!P26</f>
        <v>-0.62</v>
      </c>
      <c r="Q172" s="552">
        <f>'HORA CERTA 1° SEM'!Q26</f>
        <v>74</v>
      </c>
      <c r="R172" s="553">
        <f>'HORA CERTA 1° SEM'!R26</f>
        <v>-0.7533333333333333</v>
      </c>
    </row>
    <row r="173" spans="1:18" s="641" customFormat="1" x14ac:dyDescent="0.25">
      <c r="A173" s="509" t="str">
        <f>'HORA CERTA 1° SEM'!A27</f>
        <v>Mapa</v>
      </c>
      <c r="B173" s="500">
        <f>'HORA CERTA 1° SEM'!B27</f>
        <v>40</v>
      </c>
      <c r="C173" s="495">
        <f>'HORA CERTA 1° SEM'!C27</f>
        <v>0</v>
      </c>
      <c r="D173" s="496">
        <f>'HORA CERTA 1° SEM'!D27</f>
        <v>-1</v>
      </c>
      <c r="E173" s="495">
        <f>'HORA CERTA 1° SEM'!E27</f>
        <v>0</v>
      </c>
      <c r="F173" s="496">
        <f>'HORA CERTA 1° SEM'!F27</f>
        <v>-1</v>
      </c>
      <c r="G173" s="495">
        <f>'HORA CERTA 1° SEM'!G27</f>
        <v>0</v>
      </c>
      <c r="H173" s="496">
        <f>'HORA CERTA 1° SEM'!H27</f>
        <v>-1</v>
      </c>
      <c r="I173" s="552">
        <f>'HORA CERTA 1° SEM'!I27</f>
        <v>0</v>
      </c>
      <c r="J173" s="553">
        <f>'HORA CERTA 1° SEM'!J27</f>
        <v>-1</v>
      </c>
      <c r="K173" s="495">
        <f>'HORA CERTA 1° SEM'!K27</f>
        <v>0</v>
      </c>
      <c r="L173" s="496">
        <f>'HORA CERTA 1° SEM'!L27</f>
        <v>-1</v>
      </c>
      <c r="M173" s="495">
        <f>'HORA CERTA 1° SEM'!M27</f>
        <v>14</v>
      </c>
      <c r="N173" s="496">
        <f>'HORA CERTA 1° SEM'!N27</f>
        <v>-0.65</v>
      </c>
      <c r="O173" s="495">
        <f>'HORA CERTA 1° SEM'!O27</f>
        <v>16</v>
      </c>
      <c r="P173" s="496">
        <f>'HORA CERTA 1° SEM'!P27</f>
        <v>-0.6</v>
      </c>
      <c r="Q173" s="552">
        <f>'HORA CERTA 1° SEM'!Q27</f>
        <v>30</v>
      </c>
      <c r="R173" s="553">
        <f>'HORA CERTA 1° SEM'!R27</f>
        <v>-0.75</v>
      </c>
    </row>
    <row r="174" spans="1:18" s="641" customFormat="1" x14ac:dyDescent="0.25">
      <c r="A174" s="509" t="str">
        <f>'HORA CERTA 1° SEM'!A28</f>
        <v>Teste Ergométrico</v>
      </c>
      <c r="B174" s="500">
        <f>'HORA CERTA 1° SEM'!B28</f>
        <v>192</v>
      </c>
      <c r="C174" s="495">
        <f>'HORA CERTA 1° SEM'!C28</f>
        <v>0</v>
      </c>
      <c r="D174" s="496">
        <f>'HORA CERTA 1° SEM'!D28</f>
        <v>-1</v>
      </c>
      <c r="E174" s="495">
        <f>'HORA CERTA 1° SEM'!E28</f>
        <v>0</v>
      </c>
      <c r="F174" s="496">
        <f>'HORA CERTA 1° SEM'!F28</f>
        <v>-1</v>
      </c>
      <c r="G174" s="495">
        <f>'HORA CERTA 1° SEM'!G28</f>
        <v>0</v>
      </c>
      <c r="H174" s="496">
        <f>'HORA CERTA 1° SEM'!H28</f>
        <v>-1</v>
      </c>
      <c r="I174" s="552">
        <f>'HORA CERTA 1° SEM'!I28</f>
        <v>0</v>
      </c>
      <c r="J174" s="553">
        <f>'HORA CERTA 1° SEM'!J28</f>
        <v>-1</v>
      </c>
      <c r="K174" s="495">
        <f>'HORA CERTA 1° SEM'!K28</f>
        <v>0</v>
      </c>
      <c r="L174" s="496">
        <f>'HORA CERTA 1° SEM'!L28</f>
        <v>-1</v>
      </c>
      <c r="M174" s="495">
        <f>'HORA CERTA 1° SEM'!M28</f>
        <v>72</v>
      </c>
      <c r="N174" s="496">
        <f>'HORA CERTA 1° SEM'!N28</f>
        <v>-0.625</v>
      </c>
      <c r="O174" s="495">
        <f>'HORA CERTA 1° SEM'!O28</f>
        <v>44</v>
      </c>
      <c r="P174" s="496">
        <f>'HORA CERTA 1° SEM'!P28</f>
        <v>-0.77083333333333337</v>
      </c>
      <c r="Q174" s="552">
        <f>'HORA CERTA 1° SEM'!Q28</f>
        <v>116</v>
      </c>
      <c r="R174" s="553">
        <f>'HORA CERTA 1° SEM'!R28</f>
        <v>-0.79861111111111116</v>
      </c>
    </row>
    <row r="175" spans="1:18" s="641" customFormat="1" x14ac:dyDescent="0.25">
      <c r="A175" s="564" t="str">
        <f>'HORA CERTA 1° SEM'!A29</f>
        <v>Endoscopia Digestiva Alta</v>
      </c>
      <c r="B175" s="561">
        <f>'HORA CERTA 1° SEM'!B29</f>
        <v>240</v>
      </c>
      <c r="C175" s="562">
        <f>'HORA CERTA 1° SEM'!C29</f>
        <v>0</v>
      </c>
      <c r="D175" s="496">
        <f>'HORA CERTA 1° SEM'!D29</f>
        <v>-1</v>
      </c>
      <c r="E175" s="562">
        <f>'HORA CERTA 1° SEM'!E29</f>
        <v>0</v>
      </c>
      <c r="F175" s="496">
        <f>'HORA CERTA 1° SEM'!F29</f>
        <v>-1</v>
      </c>
      <c r="G175" s="562">
        <f>'HORA CERTA 1° SEM'!G29</f>
        <v>51</v>
      </c>
      <c r="H175" s="496">
        <f>'HORA CERTA 1° SEM'!H29</f>
        <v>-0.78749999999999998</v>
      </c>
      <c r="I175" s="552">
        <f>'HORA CERTA 1° SEM'!I29</f>
        <v>51</v>
      </c>
      <c r="J175" s="553">
        <f>'HORA CERTA 1° SEM'!J29</f>
        <v>-0.9291666666666667</v>
      </c>
      <c r="K175" s="562">
        <f>'HORA CERTA 1° SEM'!K29</f>
        <v>112</v>
      </c>
      <c r="L175" s="496">
        <f>'HORA CERTA 1° SEM'!L29</f>
        <v>-0.53333333333333333</v>
      </c>
      <c r="M175" s="562">
        <f>'HORA CERTA 1° SEM'!M29</f>
        <v>87</v>
      </c>
      <c r="N175" s="496">
        <f>'HORA CERTA 1° SEM'!N29</f>
        <v>-0.63749999999999996</v>
      </c>
      <c r="O175" s="562">
        <f>'HORA CERTA 1° SEM'!O29</f>
        <v>55</v>
      </c>
      <c r="P175" s="496">
        <f>'HORA CERTA 1° SEM'!P29</f>
        <v>-0.77083333333333337</v>
      </c>
      <c r="Q175" s="552">
        <f>'HORA CERTA 1° SEM'!Q29</f>
        <v>254</v>
      </c>
      <c r="R175" s="553">
        <f>'HORA CERTA 1° SEM'!R29</f>
        <v>-0.64722222222222214</v>
      </c>
    </row>
    <row r="176" spans="1:18" s="641" customFormat="1" x14ac:dyDescent="0.25">
      <c r="A176" s="564" t="str">
        <f>'HORA CERTA 1° SEM'!A30</f>
        <v>Colonoscopia</v>
      </c>
      <c r="B176" s="561">
        <f>'HORA CERTA 1° SEM'!B30</f>
        <v>288</v>
      </c>
      <c r="C176" s="562">
        <f>'HORA CERTA 1° SEM'!C30</f>
        <v>0</v>
      </c>
      <c r="D176" s="551">
        <f>'HORA CERTA 1° SEM'!D30</f>
        <v>-1</v>
      </c>
      <c r="E176" s="562">
        <f>'HORA CERTA 1° SEM'!E30</f>
        <v>0</v>
      </c>
      <c r="F176" s="551">
        <f>'HORA CERTA 1° SEM'!F30</f>
        <v>-1</v>
      </c>
      <c r="G176" s="562">
        <f>'HORA CERTA 1° SEM'!G30</f>
        <v>0</v>
      </c>
      <c r="H176" s="551">
        <f>'HORA CERTA 1° SEM'!H30</f>
        <v>-1</v>
      </c>
      <c r="I176" s="552">
        <f>'HORA CERTA 1° SEM'!I30</f>
        <v>0</v>
      </c>
      <c r="J176" s="553">
        <f>'HORA CERTA 1° SEM'!J30</f>
        <v>-1</v>
      </c>
      <c r="K176" s="562">
        <f>'HORA CERTA 1° SEM'!K30</f>
        <v>13</v>
      </c>
      <c r="L176" s="551">
        <f>'HORA CERTA 1° SEM'!L30</f>
        <v>-0.95486111111111116</v>
      </c>
      <c r="M176" s="562">
        <f>'HORA CERTA 1° SEM'!M30</f>
        <v>7</v>
      </c>
      <c r="N176" s="551">
        <f>'HORA CERTA 1° SEM'!N30</f>
        <v>-0.97569444444444442</v>
      </c>
      <c r="O176" s="562">
        <f>'HORA CERTA 1° SEM'!O30</f>
        <v>12</v>
      </c>
      <c r="P176" s="551">
        <f>'HORA CERTA 1° SEM'!P30</f>
        <v>-0.95833333333333337</v>
      </c>
      <c r="Q176" s="552">
        <f>'HORA CERTA 1° SEM'!Q30</f>
        <v>32</v>
      </c>
      <c r="R176" s="553">
        <f>'HORA CERTA 1° SEM'!R30</f>
        <v>-0.96296296296296302</v>
      </c>
    </row>
    <row r="177" spans="1:18" s="641" customFormat="1" x14ac:dyDescent="0.25">
      <c r="A177" s="509" t="str">
        <f>'HORA CERTA 1° SEM'!A31</f>
        <v>Avaliação Urodinâmica Completa</v>
      </c>
      <c r="B177" s="500">
        <f>'HORA CERTA 1° SEM'!B31</f>
        <v>48</v>
      </c>
      <c r="C177" s="495">
        <f>'HORA CERTA 1° SEM'!C31</f>
        <v>0</v>
      </c>
      <c r="D177" s="551">
        <f>'HORA CERTA 1° SEM'!D31</f>
        <v>-1</v>
      </c>
      <c r="E177" s="495">
        <f>'HORA CERTA 1° SEM'!E31</f>
        <v>0</v>
      </c>
      <c r="F177" s="551">
        <f>'HORA CERTA 1° SEM'!F31</f>
        <v>-1</v>
      </c>
      <c r="G177" s="495">
        <f>'HORA CERTA 1° SEM'!G31</f>
        <v>0</v>
      </c>
      <c r="H177" s="551">
        <f>'HORA CERTA 1° SEM'!H31</f>
        <v>-1</v>
      </c>
      <c r="I177" s="552">
        <f>'HORA CERTA 1° SEM'!I31</f>
        <v>0</v>
      </c>
      <c r="J177" s="553">
        <f>'HORA CERTA 1° SEM'!J31</f>
        <v>-1</v>
      </c>
      <c r="K177" s="495">
        <f>'HORA CERTA 1° SEM'!K31</f>
        <v>0</v>
      </c>
      <c r="L177" s="551">
        <f>'HORA CERTA 1° SEM'!L31</f>
        <v>-1</v>
      </c>
      <c r="M177" s="495">
        <f>'HORA CERTA 1° SEM'!M31</f>
        <v>0</v>
      </c>
      <c r="N177" s="551">
        <f>'HORA CERTA 1° SEM'!N31</f>
        <v>-1</v>
      </c>
      <c r="O177" s="495">
        <f>'HORA CERTA 1° SEM'!O31</f>
        <v>0</v>
      </c>
      <c r="P177" s="551">
        <f>'HORA CERTA 1° SEM'!P31</f>
        <v>-1</v>
      </c>
      <c r="Q177" s="552">
        <f>'HORA CERTA 1° SEM'!Q31</f>
        <v>0</v>
      </c>
      <c r="R177" s="553">
        <f>'HORA CERTA 1° SEM'!R31</f>
        <v>-1</v>
      </c>
    </row>
    <row r="178" spans="1:18" s="641" customFormat="1" x14ac:dyDescent="0.25">
      <c r="A178" s="509" t="str">
        <f>'HORA CERTA 1° SEM'!A32</f>
        <v>Nasofibroscopia</v>
      </c>
      <c r="B178" s="500">
        <f>'HORA CERTA 1° SEM'!B32</f>
        <v>96</v>
      </c>
      <c r="C178" s="495">
        <f>'HORA CERTA 1° SEM'!C32</f>
        <v>44</v>
      </c>
      <c r="D178" s="551">
        <f>'HORA CERTA 1° SEM'!D32</f>
        <v>-0.54166666666666674</v>
      </c>
      <c r="E178" s="495">
        <f>'HORA CERTA 1° SEM'!E32</f>
        <v>73</v>
      </c>
      <c r="F178" s="551">
        <f>'HORA CERTA 1° SEM'!F32</f>
        <v>-0.23958333333333337</v>
      </c>
      <c r="G178" s="495">
        <f>'HORA CERTA 1° SEM'!G32</f>
        <v>76</v>
      </c>
      <c r="H178" s="551">
        <f>'HORA CERTA 1° SEM'!H32</f>
        <v>-0.20833333333333337</v>
      </c>
      <c r="I178" s="552">
        <f>'HORA CERTA 1° SEM'!I32</f>
        <v>193</v>
      </c>
      <c r="J178" s="553">
        <f>'HORA CERTA 1° SEM'!J32</f>
        <v>-0.32986111111111116</v>
      </c>
      <c r="K178" s="495">
        <f>'HORA CERTA 1° SEM'!K32</f>
        <v>49</v>
      </c>
      <c r="L178" s="551">
        <f>'HORA CERTA 1° SEM'!L32</f>
        <v>-0.48958333333333337</v>
      </c>
      <c r="M178" s="495">
        <f>'HORA CERTA 1° SEM'!M32</f>
        <v>84</v>
      </c>
      <c r="N178" s="551">
        <f>'HORA CERTA 1° SEM'!N32</f>
        <v>-0.125</v>
      </c>
      <c r="O178" s="495">
        <f>'HORA CERTA 1° SEM'!O32</f>
        <v>68</v>
      </c>
      <c r="P178" s="551">
        <f>'HORA CERTA 1° SEM'!P32</f>
        <v>-0.29166666666666663</v>
      </c>
      <c r="Q178" s="552">
        <f>'HORA CERTA 1° SEM'!Q32</f>
        <v>201</v>
      </c>
      <c r="R178" s="553">
        <f>'HORA CERTA 1° SEM'!R32</f>
        <v>-0.30208333333333337</v>
      </c>
    </row>
    <row r="179" spans="1:18" s="641" customFormat="1" x14ac:dyDescent="0.25">
      <c r="A179" s="509" t="str">
        <f>'HORA CERTA 1° SEM'!A33</f>
        <v>Ultrassom Geral</v>
      </c>
      <c r="B179" s="500">
        <f>'HORA CERTA 1° SEM'!B33</f>
        <v>864</v>
      </c>
      <c r="C179" s="495">
        <f>'HORA CERTA 1° SEM'!C33</f>
        <v>334</v>
      </c>
      <c r="D179" s="551">
        <f>'HORA CERTA 1° SEM'!D33</f>
        <v>-0.61342592592592593</v>
      </c>
      <c r="E179" s="495">
        <f>'HORA CERTA 1° SEM'!E33</f>
        <v>790</v>
      </c>
      <c r="F179" s="551">
        <f>'HORA CERTA 1° SEM'!F33</f>
        <v>-8.564814814814814E-2</v>
      </c>
      <c r="G179" s="495">
        <f>'HORA CERTA 1° SEM'!G33</f>
        <v>1077</v>
      </c>
      <c r="H179" s="551">
        <f>'HORA CERTA 1° SEM'!H33</f>
        <v>0.24652777777777768</v>
      </c>
      <c r="I179" s="552">
        <f>'HORA CERTA 1° SEM'!I33</f>
        <v>2201</v>
      </c>
      <c r="J179" s="553">
        <f>'HORA CERTA 1° SEM'!J33</f>
        <v>-0.1508487654320988</v>
      </c>
      <c r="K179" s="495">
        <f>'HORA CERTA 1° SEM'!K33</f>
        <v>954</v>
      </c>
      <c r="L179" s="551">
        <f>'HORA CERTA 1° SEM'!L33</f>
        <v>0.10416666666666674</v>
      </c>
      <c r="M179" s="495">
        <f>'HORA CERTA 1° SEM'!M33</f>
        <v>1401</v>
      </c>
      <c r="N179" s="551">
        <f>'HORA CERTA 1° SEM'!N33</f>
        <v>0.62152777777777768</v>
      </c>
      <c r="O179" s="495">
        <f>'HORA CERTA 1° SEM'!O33</f>
        <v>875</v>
      </c>
      <c r="P179" s="551">
        <f>'HORA CERTA 1° SEM'!P33</f>
        <v>1.2731481481481399E-2</v>
      </c>
      <c r="Q179" s="552">
        <f>'HORA CERTA 1° SEM'!Q33</f>
        <v>3230</v>
      </c>
      <c r="R179" s="553">
        <f>'HORA CERTA 1° SEM'!R33</f>
        <v>0.24614197530864201</v>
      </c>
    </row>
    <row r="180" spans="1:18" s="641" customFormat="1" ht="15.75" thickBot="1" x14ac:dyDescent="0.3">
      <c r="A180" s="564" t="str">
        <f>'HORA CERTA 1° SEM'!A34</f>
        <v>US Doppler Vascular</v>
      </c>
      <c r="B180" s="561">
        <f>'HORA CERTA 1° SEM'!B34</f>
        <v>288</v>
      </c>
      <c r="C180" s="562">
        <f>'HORA CERTA 1° SEM'!C34</f>
        <v>0</v>
      </c>
      <c r="D180" s="551">
        <f>'HORA CERTA 1° SEM'!D34</f>
        <v>-1</v>
      </c>
      <c r="E180" s="562">
        <f>'HORA CERTA 1° SEM'!E34</f>
        <v>0</v>
      </c>
      <c r="F180" s="551">
        <f>'HORA CERTA 1° SEM'!F34</f>
        <v>-1</v>
      </c>
      <c r="G180" s="562">
        <f>'HORA CERTA 1° SEM'!G34</f>
        <v>0</v>
      </c>
      <c r="H180" s="551">
        <f>'HORA CERTA 1° SEM'!H34</f>
        <v>-1</v>
      </c>
      <c r="I180" s="552">
        <f>'HORA CERTA 1° SEM'!I34</f>
        <v>0</v>
      </c>
      <c r="J180" s="553">
        <f>'HORA CERTA 1° SEM'!J34</f>
        <v>-1</v>
      </c>
      <c r="K180" s="562">
        <f>'HORA CERTA 1° SEM'!K34</f>
        <v>0</v>
      </c>
      <c r="L180" s="551">
        <f>'HORA CERTA 1° SEM'!L34</f>
        <v>-1</v>
      </c>
      <c r="M180" s="562">
        <f>'HORA CERTA 1° SEM'!M34</f>
        <v>248</v>
      </c>
      <c r="N180" s="551">
        <f>'HORA CERTA 1° SEM'!N34</f>
        <v>-0.13888888888888884</v>
      </c>
      <c r="O180" s="562">
        <f>'HORA CERTA 1° SEM'!O34</f>
        <v>49</v>
      </c>
      <c r="P180" s="551">
        <f>'HORA CERTA 1° SEM'!P34</f>
        <v>-0.82986111111111116</v>
      </c>
      <c r="Q180" s="552">
        <f>'HORA CERTA 1° SEM'!Q34</f>
        <v>297</v>
      </c>
      <c r="R180" s="553">
        <f>'HORA CERTA 1° SEM'!R34</f>
        <v>-0.65625</v>
      </c>
    </row>
    <row r="181" spans="1:18" s="641" customFormat="1" ht="15.75" thickBot="1" x14ac:dyDescent="0.3">
      <c r="A181" s="524" t="str">
        <f>'HORA CERTA 1° SEM'!A35</f>
        <v>SOMA</v>
      </c>
      <c r="B181" s="567">
        <f>'HORA CERTA 1° SEM'!B35</f>
        <v>2924</v>
      </c>
      <c r="C181" s="526">
        <f>'HORA CERTA 1° SEM'!C35</f>
        <v>378</v>
      </c>
      <c r="D181" s="527">
        <f>'HORA CERTA 1° SEM'!D35</f>
        <v>-0.87072503419972636</v>
      </c>
      <c r="E181" s="526">
        <f>'HORA CERTA 1° SEM'!E35</f>
        <v>863</v>
      </c>
      <c r="F181" s="527">
        <f>'HORA CERTA 1° SEM'!F35</f>
        <v>-0.70485636114911077</v>
      </c>
      <c r="G181" s="526">
        <f>'HORA CERTA 1° SEM'!G35</f>
        <v>1342</v>
      </c>
      <c r="H181" s="568">
        <f>'HORA CERTA 1° SEM'!H35</f>
        <v>-0.54103967168262657</v>
      </c>
      <c r="I181" s="569">
        <f>'HORA CERTA 1° SEM'!I35</f>
        <v>2583</v>
      </c>
      <c r="J181" s="570">
        <f>'HORA CERTA 1° SEM'!J35</f>
        <v>-0.70554035567715456</v>
      </c>
      <c r="K181" s="526">
        <f>'HORA CERTA 1° SEM'!K35</f>
        <v>1503</v>
      </c>
      <c r="L181" s="527">
        <f>'HORA CERTA 1° SEM'!L35</f>
        <v>-0.48597811217510256</v>
      </c>
      <c r="M181" s="526">
        <f>'HORA CERTA 1° SEM'!M35</f>
        <v>2331</v>
      </c>
      <c r="N181" s="527">
        <f>'HORA CERTA 1° SEM'!N35</f>
        <v>-0.20280437756497949</v>
      </c>
      <c r="O181" s="526">
        <f>'HORA CERTA 1° SEM'!O35</f>
        <v>1457</v>
      </c>
      <c r="P181" s="568">
        <f>'HORA CERTA 1° SEM'!P35</f>
        <v>-0.50170998632010944</v>
      </c>
      <c r="Q181" s="569">
        <f>'HORA CERTA 1° SEM'!Q35</f>
        <v>5291</v>
      </c>
      <c r="R181" s="570">
        <f>'HORA CERTA 1° SEM'!R35</f>
        <v>-0.3968308253533972</v>
      </c>
    </row>
    <row r="182" spans="1:18" s="641" customFormat="1" x14ac:dyDescent="0.25"/>
    <row r="183" spans="1:18" ht="15.75" thickBot="1" x14ac:dyDescent="0.3"/>
    <row r="184" spans="1:18" ht="34.5" thickBot="1" x14ac:dyDescent="0.3">
      <c r="A184" s="643" t="s">
        <v>314</v>
      </c>
      <c r="B184" s="644" t="s">
        <v>315</v>
      </c>
      <c r="C184" s="645" t="str">
        <f>C164</f>
        <v>JAN</v>
      </c>
      <c r="D184" s="646" t="s">
        <v>1</v>
      </c>
      <c r="E184" s="647" t="str">
        <f>E164</f>
        <v>FEV</v>
      </c>
      <c r="F184" s="648" t="s">
        <v>1</v>
      </c>
      <c r="G184" s="645" t="str">
        <f>G164</f>
        <v>MAR</v>
      </c>
      <c r="H184" s="646" t="s">
        <v>1</v>
      </c>
      <c r="I184" s="647" t="str">
        <f>K164</f>
        <v>ABR</v>
      </c>
      <c r="J184" s="648" t="s">
        <v>1</v>
      </c>
      <c r="K184" s="645" t="str">
        <f>M164</f>
        <v>MAI</v>
      </c>
      <c r="L184" s="646" t="s">
        <v>1</v>
      </c>
      <c r="M184" s="647" t="str">
        <f>O164</f>
        <v>JUN</v>
      </c>
      <c r="N184" s="648" t="s">
        <v>1</v>
      </c>
      <c r="O184" s="649" t="s">
        <v>316</v>
      </c>
      <c r="P184" s="650" t="s">
        <v>370</v>
      </c>
    </row>
    <row r="185" spans="1:18" ht="25.5" x14ac:dyDescent="0.25">
      <c r="A185" s="696" t="s">
        <v>317</v>
      </c>
      <c r="B185" s="651">
        <f>SUM(B153:B160)</f>
        <v>2800</v>
      </c>
      <c r="C185" s="652">
        <f>SUM(C153:C160)</f>
        <v>84</v>
      </c>
      <c r="D185" s="653">
        <f>C185/$B185</f>
        <v>0.03</v>
      </c>
      <c r="E185" s="654">
        <f>SUM(E153:E160)</f>
        <v>191</v>
      </c>
      <c r="F185" s="655">
        <f>E185/$B185</f>
        <v>6.8214285714285713E-2</v>
      </c>
      <c r="G185" s="652">
        <f>SUM(G153:G160)</f>
        <v>179</v>
      </c>
      <c r="H185" s="653">
        <f>G185/$B185</f>
        <v>6.3928571428571432E-2</v>
      </c>
      <c r="I185" s="654">
        <f>SUM(K153:K160)</f>
        <v>105</v>
      </c>
      <c r="J185" s="653">
        <f>I185/$B185</f>
        <v>3.7499999999999999E-2</v>
      </c>
      <c r="K185" s="654">
        <f>SUM(M153:M160)</f>
        <v>281</v>
      </c>
      <c r="L185" s="653">
        <f>K185/$B185</f>
        <v>0.10035714285714285</v>
      </c>
      <c r="M185" s="654">
        <f>SUM(O153:O160)</f>
        <v>111</v>
      </c>
      <c r="N185" s="655">
        <f>M185/$B185</f>
        <v>3.9642857142857139E-2</v>
      </c>
      <c r="O185" s="656">
        <f>SUM(C185,E185,G185,I185,K185,M185)</f>
        <v>951</v>
      </c>
      <c r="P185" s="657">
        <f>O185/(B185*6)</f>
        <v>5.6607142857142856E-2</v>
      </c>
    </row>
    <row r="186" spans="1:18" ht="27" customHeight="1" x14ac:dyDescent="0.25">
      <c r="A186" s="696" t="s">
        <v>318</v>
      </c>
      <c r="B186" s="651">
        <f>B166</f>
        <v>240</v>
      </c>
      <c r="C186" s="652">
        <f>C166</f>
        <v>40</v>
      </c>
      <c r="D186" s="653">
        <f t="shared" ref="D186:F191" si="13">C186/$B186</f>
        <v>0.16666666666666666</v>
      </c>
      <c r="E186" s="654">
        <f>E166</f>
        <v>74</v>
      </c>
      <c r="F186" s="655">
        <f>E186/$B186</f>
        <v>0.30833333333333335</v>
      </c>
      <c r="G186" s="652">
        <f>G166</f>
        <v>79</v>
      </c>
      <c r="H186" s="653">
        <f>G186/$B186</f>
        <v>0.32916666666666666</v>
      </c>
      <c r="I186" s="654">
        <f>K166</f>
        <v>73</v>
      </c>
      <c r="J186" s="658">
        <f>I186/$B186</f>
        <v>0.30416666666666664</v>
      </c>
      <c r="K186" s="652">
        <f>M166</f>
        <v>89</v>
      </c>
      <c r="L186" s="653">
        <f>K186/$B186</f>
        <v>0.37083333333333335</v>
      </c>
      <c r="M186" s="654">
        <f>O166</f>
        <v>100</v>
      </c>
      <c r="N186" s="655">
        <f>M186/$B186</f>
        <v>0.41666666666666669</v>
      </c>
      <c r="O186" s="656">
        <f t="shared" ref="O186:O190" si="14">SUM(C186,E186,G186,I186,K186,M186)</f>
        <v>455</v>
      </c>
      <c r="P186" s="657">
        <f t="shared" ref="P186:P191" si="15">O186/(B186*6)</f>
        <v>0.31597222222222221</v>
      </c>
    </row>
    <row r="187" spans="1:18" ht="25.5" x14ac:dyDescent="0.25">
      <c r="A187" s="697" t="s">
        <v>319</v>
      </c>
      <c r="B187" s="659">
        <f>SUM(B129:B132,B113:B115,B96:B99,B82:B85,B71:B74,B56:B58,B27:B28,B13:B15)</f>
        <v>14049</v>
      </c>
      <c r="C187" s="660">
        <f>SUM(C129:C132,C113:C115,C96:C99,C82:C85,C71:C74,C56:C58,C27:C28,C13:C15)</f>
        <v>7578</v>
      </c>
      <c r="D187" s="661">
        <f t="shared" si="13"/>
        <v>0.53939782190903263</v>
      </c>
      <c r="E187" s="662">
        <f>SUM(E129:E132,E113:E115,E96:E99,E82:E85,E71:E74,E56:E58,E27:E28,E13:E15)</f>
        <v>7859</v>
      </c>
      <c r="F187" s="658">
        <f>E187/$B187</f>
        <v>0.55939924549790021</v>
      </c>
      <c r="G187" s="708">
        <f>SUM(G129:G132,G113:G115,G96:G99,G82:G85,G71:G74,G56:G58,G27:G28,G13:G15)</f>
        <v>9553</v>
      </c>
      <c r="H187" s="661">
        <f>G187/$B187</f>
        <v>0.67997722257811943</v>
      </c>
      <c r="I187" s="663">
        <f>SUM(K129:K132,K113:K115,K96:K99,K82:K85,K71:K74,K56:K58,K27:K28,K13:K15)</f>
        <v>7236</v>
      </c>
      <c r="J187" s="658">
        <f>I187/$B187</f>
        <v>0.51505445227418323</v>
      </c>
      <c r="K187" s="660">
        <f>SUM(M129:M132,M113:M115,M96:M99,M82:M85,M71:M74,M56:M58,M27:M28,M13:M15)</f>
        <v>9793</v>
      </c>
      <c r="L187" s="661">
        <f>K187/$B187</f>
        <v>0.69706028898854011</v>
      </c>
      <c r="M187" s="663">
        <f>SUM(O129:O132,O113:O115,O96:O99,O82:O85,O71:O74,O56:O58,O27:O28,O13:O15)</f>
        <v>8849</v>
      </c>
      <c r="N187" s="658">
        <f>M187/$B187</f>
        <v>0.62986689444088551</v>
      </c>
      <c r="O187" s="664">
        <f t="shared" si="14"/>
        <v>50868</v>
      </c>
      <c r="P187" s="665">
        <f t="shared" si="15"/>
        <v>0.60345932094811017</v>
      </c>
    </row>
    <row r="188" spans="1:18" ht="25.5" x14ac:dyDescent="0.25">
      <c r="A188" s="697" t="s">
        <v>320</v>
      </c>
      <c r="B188" s="659">
        <f>SUM(B123:B124,B111:B112,B80:B81,B64:B65,B67:B68,B50:B51,B43:B44,B34:B35,B21:B22,B9:B10)</f>
        <v>21602</v>
      </c>
      <c r="C188" s="666">
        <f>SUM(C123:C124,C111:C112,C80:C81,C64:C65,C67:C68,C50:C51,C43:C44,C34:C35,C21:C22,C9:C10)</f>
        <v>17216</v>
      </c>
      <c r="D188" s="661">
        <f t="shared" si="13"/>
        <v>0.79696324414406072</v>
      </c>
      <c r="E188" s="667">
        <f>SUM(E123:E124,E111:E112,E80:E81,E64:E65,E67:E68,E50:E51,E43:E44,E34:E35,E21:E22,E9:E10)</f>
        <v>15902</v>
      </c>
      <c r="F188" s="658">
        <f>E188/$B188</f>
        <v>0.73613554300527728</v>
      </c>
      <c r="G188" s="666">
        <f>SUM(G123:G124,G111:G112,G80:G81,G64:G65,G67:G68,G50:G51,G43:G44,G34:G35,G21:G22,G9:G10)</f>
        <v>20618</v>
      </c>
      <c r="H188" s="661">
        <f>G188/$B188</f>
        <v>0.95444866216091107</v>
      </c>
      <c r="I188" s="668">
        <f>SUM(K123:K124,K111:K112,K80:K81,K64:K65,K67:K68,K50:K51,K43:K44,K34:K35,K21:K22,K9:K10)</f>
        <v>17524</v>
      </c>
      <c r="J188" s="658">
        <f>I188/$B188</f>
        <v>0.81122118322377557</v>
      </c>
      <c r="K188" s="666">
        <f>SUM(M123:M124,M111:M112,M80:M81,M64:M65,M67:M68,M50:M51,M43:M44,M34:M35,M21:M22,M9:M10)</f>
        <v>21819</v>
      </c>
      <c r="L188" s="661">
        <f>K188/$B188</f>
        <v>1.010045366169799</v>
      </c>
      <c r="M188" s="667">
        <f>SUM(O123:O124,O111:O112,O80:O81,O64:O65,O67:O68,O50:O51,O43:O44,O34:O35,O21:O22,O9:O10)</f>
        <v>18974</v>
      </c>
      <c r="N188" s="658">
        <f>M188/$B188</f>
        <v>0.87834459772243312</v>
      </c>
      <c r="O188" s="664">
        <f t="shared" si="14"/>
        <v>112053</v>
      </c>
      <c r="P188" s="665">
        <f t="shared" si="15"/>
        <v>0.86452643273770946</v>
      </c>
    </row>
    <row r="189" spans="1:18" ht="25.5" x14ac:dyDescent="0.25">
      <c r="A189" s="697" t="s">
        <v>321</v>
      </c>
      <c r="B189" s="659">
        <f>SUM(B127,B116,B94,B88,B69,B54,B36,B25)</f>
        <v>1952</v>
      </c>
      <c r="C189" s="660">
        <f>SUM(C127,C116,C94,C88,C69,C54,C36,C25)</f>
        <v>1669</v>
      </c>
      <c r="D189" s="661">
        <f t="shared" si="13"/>
        <v>0.85502049180327866</v>
      </c>
      <c r="E189" s="662">
        <f>SUM(E127,E116,E94,E88,E69,E54,E36,E25)</f>
        <v>1796</v>
      </c>
      <c r="F189" s="658">
        <f t="shared" si="13"/>
        <v>0.92008196721311475</v>
      </c>
      <c r="G189" s="660">
        <f>SUM(G127,G116,G94,G88,G69,G54,G36,G25)</f>
        <v>1932</v>
      </c>
      <c r="H189" s="661">
        <f t="shared" ref="H189" si="16">G189/$B189</f>
        <v>0.98975409836065575</v>
      </c>
      <c r="I189" s="663">
        <f>SUM(K127,K116,K94,K88,K69,K54,K36,K25)</f>
        <v>1209</v>
      </c>
      <c r="J189" s="658">
        <f t="shared" ref="J189" si="17">I189/$B189</f>
        <v>0.61936475409836067</v>
      </c>
      <c r="K189" s="660">
        <f>SUM(M127,M116,M94,M88,M69,M54,M36,M25)</f>
        <v>1848</v>
      </c>
      <c r="L189" s="661">
        <f t="shared" ref="L189" si="18">K189/$B189</f>
        <v>0.94672131147540983</v>
      </c>
      <c r="M189" s="662">
        <f>SUM(O127,O116,O94,O88,O69,O54,O36,O25)</f>
        <v>1771</v>
      </c>
      <c r="N189" s="658">
        <f t="shared" ref="N189" si="19">M189/$B189</f>
        <v>0.90727459016393441</v>
      </c>
      <c r="O189" s="664">
        <f t="shared" si="14"/>
        <v>10225</v>
      </c>
      <c r="P189" s="665">
        <f t="shared" si="15"/>
        <v>0.87303620218579236</v>
      </c>
    </row>
    <row r="190" spans="1:18" ht="26.25" thickBot="1" x14ac:dyDescent="0.3">
      <c r="A190" s="697" t="s">
        <v>322</v>
      </c>
      <c r="B190" s="659">
        <f>SUM(B125,B86,B52,B23,B11)</f>
        <v>1416</v>
      </c>
      <c r="C190" s="666">
        <f>SUM(C125,C86,C52,C23,C11)</f>
        <v>999</v>
      </c>
      <c r="D190" s="661">
        <f t="shared" si="13"/>
        <v>0.70550847457627119</v>
      </c>
      <c r="E190" s="667">
        <f>SUM(E125,E86,E52,E23,E11)</f>
        <v>1185</v>
      </c>
      <c r="F190" s="658">
        <f t="shared" si="13"/>
        <v>0.83686440677966101</v>
      </c>
      <c r="G190" s="666">
        <f>SUM(G125,G86,G52,G23,G11)</f>
        <v>1686</v>
      </c>
      <c r="H190" s="661">
        <f t="shared" ref="H190" si="20">G190/$B190</f>
        <v>1.1906779661016949</v>
      </c>
      <c r="I190" s="668">
        <f>SUM(K125,K86,K52,K23,K11)</f>
        <v>956</v>
      </c>
      <c r="J190" s="658">
        <f t="shared" ref="J190" si="21">I190/$B190</f>
        <v>0.67514124293785316</v>
      </c>
      <c r="K190" s="666">
        <f>SUM(M125,M86,M52,M23,M11)</f>
        <v>1701</v>
      </c>
      <c r="L190" s="661">
        <f t="shared" ref="L190" si="22">K190/$B190</f>
        <v>1.201271186440678</v>
      </c>
      <c r="M190" s="667">
        <f>SUM(O125,O86,O52,O23,O11)</f>
        <v>1491</v>
      </c>
      <c r="N190" s="658">
        <f t="shared" ref="N190" si="23">M190/$B190</f>
        <v>1.0529661016949152</v>
      </c>
      <c r="O190" s="664">
        <f t="shared" si="14"/>
        <v>8018</v>
      </c>
      <c r="P190" s="665">
        <f t="shared" si="15"/>
        <v>0.94373822975517896</v>
      </c>
    </row>
    <row r="191" spans="1:18" ht="15.75" thickBot="1" x14ac:dyDescent="0.3">
      <c r="A191" s="669" t="s">
        <v>323</v>
      </c>
      <c r="B191" s="670">
        <f>SUM(B185:B190)</f>
        <v>42059</v>
      </c>
      <c r="C191" s="671">
        <f>SUM(C185:C190)</f>
        <v>27586</v>
      </c>
      <c r="D191" s="672">
        <f t="shared" si="13"/>
        <v>0.65588815711262749</v>
      </c>
      <c r="E191" s="673">
        <f>SUM(E185:E190)</f>
        <v>27007</v>
      </c>
      <c r="F191" s="674">
        <f t="shared" si="13"/>
        <v>0.64212178130721131</v>
      </c>
      <c r="G191" s="671">
        <f>SUM(G185:G190)</f>
        <v>34047</v>
      </c>
      <c r="H191" s="672">
        <f t="shared" ref="H191" si="24">G191/$B191</f>
        <v>0.80950569438170195</v>
      </c>
      <c r="I191" s="673">
        <f>SUM(I185:I190)</f>
        <v>27103</v>
      </c>
      <c r="J191" s="674">
        <f t="shared" ref="J191" si="25">I191/$B191</f>
        <v>0.64440428921277249</v>
      </c>
      <c r="K191" s="671">
        <f>SUM(K185:K190)</f>
        <v>35531</v>
      </c>
      <c r="L191" s="672">
        <f t="shared" ref="L191" si="26">K191/$B191</f>
        <v>0.84478946242183595</v>
      </c>
      <c r="M191" s="673">
        <f>SUM(M185:M190)</f>
        <v>31296</v>
      </c>
      <c r="N191" s="674">
        <f t="shared" ref="N191" si="27">M191/$B191</f>
        <v>0.74409757721296277</v>
      </c>
      <c r="O191" s="673">
        <f>SUM(O185:O190)</f>
        <v>182570</v>
      </c>
      <c r="P191" s="674">
        <f t="shared" si="15"/>
        <v>0.72346782694151868</v>
      </c>
    </row>
    <row r="192" spans="1:18" x14ac:dyDescent="0.25">
      <c r="A192" s="675"/>
      <c r="B192" s="676"/>
      <c r="C192" s="677"/>
      <c r="D192" s="678"/>
      <c r="E192" s="679"/>
      <c r="F192" s="680"/>
      <c r="G192" s="677"/>
      <c r="H192" s="678"/>
      <c r="I192" s="679"/>
      <c r="J192" s="680"/>
      <c r="K192" s="677"/>
      <c r="L192" s="678"/>
      <c r="M192" s="679"/>
      <c r="N192" s="680"/>
      <c r="O192" s="679"/>
      <c r="P192" s="680"/>
    </row>
    <row r="193" spans="1:16" ht="24" customHeight="1" x14ac:dyDescent="0.25">
      <c r="A193" s="696" t="s">
        <v>324</v>
      </c>
      <c r="B193" s="651">
        <f>SUM(B122,B110,B79,B66,B63,B49,B42,B33,B20,B8)</f>
        <v>45380</v>
      </c>
      <c r="C193" s="681">
        <f>SUM(C122,C110,C79,C66,C63,C49,C42,C33,C20,C8)</f>
        <v>35300</v>
      </c>
      <c r="D193" s="653">
        <f t="shared" ref="D193:F195" si="28">C193/$B193</f>
        <v>0.77787571617452622</v>
      </c>
      <c r="E193" s="682">
        <f>SUM(E122,E110,E79,E66,E63,E49,E42,E33,E20,E8)</f>
        <v>37448</v>
      </c>
      <c r="F193" s="655">
        <f t="shared" si="28"/>
        <v>0.82520934332304985</v>
      </c>
      <c r="G193" s="681">
        <f>SUM(G122,G110,G79,G66,G63,G49,G42,G33,G20,G8)</f>
        <v>43180</v>
      </c>
      <c r="H193" s="653">
        <f t="shared" ref="H193" si="29">G193/$B193</f>
        <v>0.95152049360951962</v>
      </c>
      <c r="I193" s="683">
        <f>SUM(K122,K110,K79,K66,K63,K49,K42,K33,K20,K8)</f>
        <v>38621</v>
      </c>
      <c r="J193" s="655">
        <f t="shared" ref="J193" si="30">I193/$B193</f>
        <v>0.85105773468488322</v>
      </c>
      <c r="K193" s="681">
        <f>SUM(M122,M110,M79,M66,M63,M49,M42,M33,M20,M8)</f>
        <v>43513</v>
      </c>
      <c r="L193" s="653">
        <f t="shared" ref="L193" si="31">K193/$B193</f>
        <v>0.95885852798589688</v>
      </c>
      <c r="M193" s="682">
        <f>SUM(O122,O110,O79,O66,O63,O49,O42,O33,O20,O8)</f>
        <v>40001</v>
      </c>
      <c r="N193" s="655">
        <f t="shared" ref="N193" si="32">M193/$B193</f>
        <v>0.88146760687527548</v>
      </c>
      <c r="O193" s="656">
        <f t="shared" ref="O193:O195" si="33">SUM(C193,E193,G193,I193,K193,M193)</f>
        <v>238063</v>
      </c>
      <c r="P193" s="657">
        <f t="shared" ref="P193:P198" si="34">O193/(B193*6)</f>
        <v>0.8743315704421919</v>
      </c>
    </row>
    <row r="194" spans="1:16" ht="26.25" thickBot="1" x14ac:dyDescent="0.3">
      <c r="A194" s="698" t="s">
        <v>325</v>
      </c>
      <c r="B194" s="684">
        <f>SUM(B128,B117,B95,B89,B70,B55,B37,B26)</f>
        <v>6752</v>
      </c>
      <c r="C194" s="685">
        <f>SUM(C128,C117,C95,C89,C70,C55,C37,C26)</f>
        <v>5051</v>
      </c>
      <c r="D194" s="686">
        <f t="shared" si="28"/>
        <v>0.74807464454976302</v>
      </c>
      <c r="E194" s="687">
        <f>SUM(E128,E117,E95,E89,E70,E55,E37,E26)</f>
        <v>5246</v>
      </c>
      <c r="F194" s="688">
        <f t="shared" si="28"/>
        <v>0.77695497630331756</v>
      </c>
      <c r="G194" s="685">
        <f>SUM(G128,G117,G95,G89,G70,G55,G37,G26)</f>
        <v>7082</v>
      </c>
      <c r="H194" s="686">
        <f t="shared" ref="H194" si="35">G194/$B194</f>
        <v>1.0488744075829384</v>
      </c>
      <c r="I194" s="689">
        <f>SUM(K128,K117,K95,K89,K70,K55,K37,K26)</f>
        <v>5962</v>
      </c>
      <c r="J194" s="688">
        <f t="shared" ref="J194" si="36">I194/$B194</f>
        <v>0.8829976303317536</v>
      </c>
      <c r="K194" s="685">
        <f>SUM(M128,M117,M95,M89,M70,M55,M37,M26)</f>
        <v>7648</v>
      </c>
      <c r="L194" s="686">
        <f t="shared" ref="L194" si="37">K194/$B194</f>
        <v>1.1327014218009479</v>
      </c>
      <c r="M194" s="690">
        <f>SUM(O128,O117,O95,O89,O70,O55,O37,O26)</f>
        <v>5551</v>
      </c>
      <c r="N194" s="691">
        <f t="shared" ref="N194" si="38">M194/$B194</f>
        <v>0.82212677725118488</v>
      </c>
      <c r="O194" s="692">
        <f t="shared" si="33"/>
        <v>36540</v>
      </c>
      <c r="P194" s="693">
        <f t="shared" si="34"/>
        <v>0.90195497630331756</v>
      </c>
    </row>
    <row r="195" spans="1:16" ht="26.25" thickBot="1" x14ac:dyDescent="0.3">
      <c r="A195" s="697" t="s">
        <v>326</v>
      </c>
      <c r="B195" s="659">
        <f>SUM(B126,B87,B53,B24,B12)</f>
        <v>4956</v>
      </c>
      <c r="C195" s="666">
        <f>SUM(C126,C87,C53,C24,C12)</f>
        <v>2830</v>
      </c>
      <c r="D195" s="661">
        <f t="shared" si="28"/>
        <v>0.57102502017756251</v>
      </c>
      <c r="E195" s="667">
        <f>SUM(E126,E87,E53,E24,E12)</f>
        <v>3524</v>
      </c>
      <c r="F195" s="658">
        <f t="shared" si="28"/>
        <v>0.71105730427764324</v>
      </c>
      <c r="G195" s="666">
        <f>SUM(G126,G87,G53,G24,G12)</f>
        <v>5515</v>
      </c>
      <c r="H195" s="661">
        <f t="shared" ref="H195" si="39">G195/$B195</f>
        <v>1.1127925746569813</v>
      </c>
      <c r="I195" s="668">
        <f>SUM(K126,K87,K53,K24,K12)</f>
        <v>4783</v>
      </c>
      <c r="J195" s="658">
        <f t="shared" ref="J195" si="40">I195/$B195</f>
        <v>0.96509281678773207</v>
      </c>
      <c r="K195" s="666">
        <f>SUM(M126,M87,M53,M24,M12)</f>
        <v>5387</v>
      </c>
      <c r="L195" s="661">
        <f t="shared" ref="L195" si="41">K195/$B195</f>
        <v>1.0869652945924133</v>
      </c>
      <c r="M195" s="667">
        <f>SUM(O126,O87,O53,O24,O12)</f>
        <v>4239</v>
      </c>
      <c r="N195" s="658">
        <f t="shared" ref="N195" si="42">M195/$B195</f>
        <v>0.85532687651331718</v>
      </c>
      <c r="O195" s="664">
        <f t="shared" si="33"/>
        <v>26278</v>
      </c>
      <c r="P195" s="665">
        <f t="shared" si="34"/>
        <v>0.88370998116760824</v>
      </c>
    </row>
    <row r="196" spans="1:16" ht="15.75" thickBot="1" x14ac:dyDescent="0.3">
      <c r="A196" s="699" t="s">
        <v>327</v>
      </c>
      <c r="B196" s="670">
        <f>SUM(B193:B195)</f>
        <v>57088</v>
      </c>
      <c r="C196" s="671">
        <f>SUM(C193:C195)</f>
        <v>43181</v>
      </c>
      <c r="D196" s="672">
        <f>C196/$B196</f>
        <v>0.75639363789237668</v>
      </c>
      <c r="E196" s="673">
        <f>SUM(E193:E195)</f>
        <v>46218</v>
      </c>
      <c r="F196" s="674">
        <f>E196/$B196</f>
        <v>0.80959220852017932</v>
      </c>
      <c r="G196" s="671">
        <f>SUM(G193:G195)</f>
        <v>55777</v>
      </c>
      <c r="H196" s="672">
        <f>G196/$B196</f>
        <v>0.97703545403587444</v>
      </c>
      <c r="I196" s="673">
        <f>SUM(I193:I195)</f>
        <v>49366</v>
      </c>
      <c r="J196" s="674">
        <f>I196/$B196</f>
        <v>0.86473514573991028</v>
      </c>
      <c r="K196" s="671">
        <f>SUM(K193:K195)</f>
        <v>56548</v>
      </c>
      <c r="L196" s="672">
        <f>K196/$B196</f>
        <v>0.9905409192825112</v>
      </c>
      <c r="M196" s="673">
        <f>SUM(M193:M195)</f>
        <v>49791</v>
      </c>
      <c r="N196" s="674">
        <f>M196/$B196</f>
        <v>0.87217979260089684</v>
      </c>
      <c r="O196" s="673">
        <f>SUM(O193:O195)</f>
        <v>300881</v>
      </c>
      <c r="P196" s="674">
        <f t="shared" si="34"/>
        <v>0.87841285967862481</v>
      </c>
    </row>
    <row r="197" spans="1:16" ht="15.75" thickBot="1" x14ac:dyDescent="0.3">
      <c r="A197" s="697" t="s">
        <v>328</v>
      </c>
      <c r="B197" s="694">
        <f>SUM(B170:B180,B104:B105)</f>
        <v>4152</v>
      </c>
      <c r="C197" s="666">
        <f>SUM(C170:C180,C104:C105)</f>
        <v>726</v>
      </c>
      <c r="D197" s="661">
        <f>C197/$B197</f>
        <v>0.17485549132947978</v>
      </c>
      <c r="E197" s="667">
        <f>SUM(E170:E180,E104:E105)</f>
        <v>1101</v>
      </c>
      <c r="F197" s="658">
        <f>E197/$B197</f>
        <v>0.26517341040462428</v>
      </c>
      <c r="G197" s="695">
        <f>SUM(G170:G180,G104:G105)</f>
        <v>1738</v>
      </c>
      <c r="H197" s="661">
        <f>G197/$B197</f>
        <v>0.41859344894026973</v>
      </c>
      <c r="I197" s="668">
        <f>SUM(K170:K180,K104:K105)</f>
        <v>1853</v>
      </c>
      <c r="J197" s="658">
        <f>I197/$B197</f>
        <v>0.44629094412331405</v>
      </c>
      <c r="K197" s="668">
        <f>SUM(M170:M180,M104:M105)</f>
        <v>2672</v>
      </c>
      <c r="L197" s="661">
        <f>K197/$B197</f>
        <v>0.64354527938342965</v>
      </c>
      <c r="M197" s="668">
        <f>SUM(O170:O180,O104:O105)</f>
        <v>1778</v>
      </c>
      <c r="N197" s="658">
        <f>M197/$B197</f>
        <v>0.42822736030828518</v>
      </c>
      <c r="O197" s="656">
        <f>SUM(C197,E197,G197,I197,K197,M197)</f>
        <v>9868</v>
      </c>
      <c r="P197" s="665">
        <f t="shared" si="34"/>
        <v>0.39611432241490047</v>
      </c>
    </row>
    <row r="198" spans="1:16" ht="15.75" thickBot="1" x14ac:dyDescent="0.3">
      <c r="A198" s="699" t="s">
        <v>329</v>
      </c>
      <c r="B198" s="670">
        <f>SUM(B197)</f>
        <v>4152</v>
      </c>
      <c r="C198" s="671">
        <f>SUM(C197)</f>
        <v>726</v>
      </c>
      <c r="D198" s="672">
        <f>C198/$B198</f>
        <v>0.17485549132947978</v>
      </c>
      <c r="E198" s="673">
        <f>SUM(E197)</f>
        <v>1101</v>
      </c>
      <c r="F198" s="674">
        <f>E198/$B198</f>
        <v>0.26517341040462428</v>
      </c>
      <c r="G198" s="671">
        <f>SUM(G197)</f>
        <v>1738</v>
      </c>
      <c r="H198" s="672">
        <f>G198/$B198</f>
        <v>0.41859344894026973</v>
      </c>
      <c r="I198" s="673">
        <f>SUM(I197)</f>
        <v>1853</v>
      </c>
      <c r="J198" s="674">
        <f>I198/$B198</f>
        <v>0.44629094412331405</v>
      </c>
      <c r="K198" s="671">
        <f>SUM(K197)</f>
        <v>2672</v>
      </c>
      <c r="L198" s="672">
        <f>K198/$B198</f>
        <v>0.64354527938342965</v>
      </c>
      <c r="M198" s="673">
        <f>SUM(M197)</f>
        <v>1778</v>
      </c>
      <c r="N198" s="674">
        <f>M198/$B198</f>
        <v>0.42822736030828518</v>
      </c>
      <c r="O198" s="673">
        <f>SUM(O197)</f>
        <v>9868</v>
      </c>
      <c r="P198" s="674">
        <f t="shared" si="34"/>
        <v>0.39611432241490047</v>
      </c>
    </row>
  </sheetData>
  <mergeCells count="35">
    <mergeCell ref="A102:R102"/>
    <mergeCell ref="A168:R168"/>
    <mergeCell ref="N144:N148"/>
    <mergeCell ref="O144:O148"/>
    <mergeCell ref="P144:P148"/>
    <mergeCell ref="Q144:Q148"/>
    <mergeCell ref="R144:R148"/>
    <mergeCell ref="A108:R108"/>
    <mergeCell ref="A120:R120"/>
    <mergeCell ref="A135:R135"/>
    <mergeCell ref="A142:R142"/>
    <mergeCell ref="B144:B148"/>
    <mergeCell ref="C144:C148"/>
    <mergeCell ref="D144:D148"/>
    <mergeCell ref="G144:G148"/>
    <mergeCell ref="H144:H148"/>
    <mergeCell ref="I144:I148"/>
    <mergeCell ref="A151:R151"/>
    <mergeCell ref="A163:R163"/>
    <mergeCell ref="J144:J148"/>
    <mergeCell ref="K144:K148"/>
    <mergeCell ref="L144:L148"/>
    <mergeCell ref="M144:M148"/>
    <mergeCell ref="E144:E148"/>
    <mergeCell ref="F144:F148"/>
    <mergeCell ref="A2:R2"/>
    <mergeCell ref="A3:R3"/>
    <mergeCell ref="A18:R18"/>
    <mergeCell ref="A31:R31"/>
    <mergeCell ref="A40:R40"/>
    <mergeCell ref="A47:R47"/>
    <mergeCell ref="A61:R61"/>
    <mergeCell ref="A77:R77"/>
    <mergeCell ref="A92:R92"/>
    <mergeCell ref="A6:R6"/>
  </mergeCells>
  <conditionalFormatting sqref="I197:N197 I194:I195 H193:J193 I188:I190 N198 L198 J194:J196 J198 H194:H198 P184:P198 N185:N196 L185:L196 J185:J192 H185:H192 F185:F198 D185:D198">
    <cfRule type="cellIs" dxfId="3" priority="2" operator="lessThan">
      <formula>0.84</formula>
    </cfRule>
    <cfRule type="cellIs" dxfId="2" priority="3" operator="greaterThan">
      <formula>1</formula>
    </cfRule>
    <cfRule type="cellIs" dxfId="1" priority="4" operator="between">
      <formula>0.85</formula>
      <formula>1</formula>
    </cfRule>
  </conditionalFormatting>
  <conditionalFormatting sqref="I197:N197 I194:I195 H193:J193 I188:I190 N198 L198 J194:J196 J198 H194:H198 P184:P198 N185:N196 L185:L196 J185:J192 H185:H192 F185:F198 D185:D198">
    <cfRule type="cellIs" dxfId="0" priority="1" operator="equal">
      <formula>0</formula>
    </cfRule>
  </conditionalFormatting>
  <pageMargins left="0.31496062992125984" right="0.19685039370078741" top="0.47244094488188981" bottom="0.43307086614173229" header="0.31496062992125984" footer="0.23622047244094491"/>
  <pageSetup paperSize="9" scale="71" orientation="landscape" r:id="rId1"/>
  <headerFooter>
    <oddFooter>&amp;L&amp;10Fonte: Sistema SIGA-Saúde&amp;R&amp;10pag. &amp;P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261" customWidth="1"/>
    <col min="4" max="4" width="8.140625" style="222" bestFit="1" customWidth="1"/>
    <col min="5" max="5" width="6.42578125" style="261" bestFit="1" customWidth="1"/>
    <col min="6" max="6" width="7.85546875" style="222" bestFit="1" customWidth="1"/>
    <col min="7" max="7" width="8.140625" style="261" customWidth="1"/>
    <col min="8" max="8" width="8.7109375" style="222" bestFit="1" customWidth="1"/>
    <col min="9" max="9" width="8.7109375" style="261" bestFit="1" customWidth="1"/>
    <col min="10" max="10" width="10" style="261" customWidth="1"/>
    <col min="11" max="11" width="11.28515625" style="261" customWidth="1"/>
    <col min="12" max="12" width="7.7109375" style="222" bestFit="1" customWidth="1"/>
    <col min="13" max="13" width="7.28515625" style="261" customWidth="1"/>
    <col min="14" max="17" width="9.140625" style="222"/>
    <col min="18" max="18" width="10.42578125" style="222" customWidth="1"/>
    <col min="19" max="19" width="12.140625" style="222" customWidth="1"/>
  </cols>
  <sheetData>
    <row r="1" spans="1:19" ht="15.75" thickBot="1" x14ac:dyDescent="0.3">
      <c r="B1" s="46" t="s">
        <v>233</v>
      </c>
      <c r="C1" s="219"/>
      <c r="D1" s="220"/>
      <c r="E1" s="221"/>
      <c r="F1" s="220"/>
      <c r="G1" s="221"/>
      <c r="H1" s="220"/>
      <c r="I1" s="221"/>
      <c r="J1" s="221"/>
      <c r="K1" s="221"/>
      <c r="L1" s="220"/>
      <c r="M1" s="221"/>
    </row>
    <row r="2" spans="1:19" ht="16.5" thickBot="1" x14ac:dyDescent="0.3">
      <c r="B2" s="843" t="s">
        <v>32</v>
      </c>
      <c r="C2" s="843" t="s">
        <v>116</v>
      </c>
      <c r="D2" s="846">
        <v>2016</v>
      </c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7"/>
    </row>
    <row r="3" spans="1:19" ht="48" thickBot="1" x14ac:dyDescent="0.3">
      <c r="A3" s="24"/>
      <c r="B3" s="844"/>
      <c r="C3" s="845"/>
      <c r="D3" s="41">
        <v>42552</v>
      </c>
      <c r="E3" s="41" t="s">
        <v>117</v>
      </c>
      <c r="F3" s="41">
        <v>38930</v>
      </c>
      <c r="G3" s="201" t="s">
        <v>117</v>
      </c>
      <c r="H3" s="40">
        <v>42614</v>
      </c>
      <c r="I3" s="41" t="s">
        <v>117</v>
      </c>
      <c r="J3" s="43" t="s">
        <v>256</v>
      </c>
      <c r="K3" s="44" t="s">
        <v>257</v>
      </c>
      <c r="L3" s="41">
        <v>42644</v>
      </c>
      <c r="M3" s="42" t="s">
        <v>117</v>
      </c>
      <c r="N3" s="41">
        <v>42675</v>
      </c>
      <c r="O3" s="42" t="s">
        <v>117</v>
      </c>
      <c r="P3" s="41">
        <v>42705</v>
      </c>
      <c r="Q3" s="42" t="s">
        <v>117</v>
      </c>
      <c r="R3" s="43" t="s">
        <v>140</v>
      </c>
      <c r="S3" s="44" t="s">
        <v>139</v>
      </c>
    </row>
    <row r="4" spans="1:19" ht="15" customHeight="1" thickTop="1" x14ac:dyDescent="0.25">
      <c r="A4" t="s">
        <v>258</v>
      </c>
      <c r="B4" s="196" t="s">
        <v>303</v>
      </c>
      <c r="C4" s="223" t="e">
        <f>'UBS Vila Dalva 1° SEM'!B20+'UBS Jardim Boa Vista 1° SEM'!#REF!+'UBS e NASF Jd D Abril 1° SEM'!B17+'UBS Jd Jaqueline 1° SEM'!B15+'UBS E NASF Malta Cardoso 1° SEM'!B22+'UBS Real Parque 1° SEM'!#REF!+'UBS Sao Remo 1° SEM'!B23+'AMA_ UBS e NASF Paulo VI 1° SEM'!B19+' AMA e UBS Sao Jorge 1° SEM'!B23</f>
        <v>#REF!</v>
      </c>
      <c r="D4" s="225" t="e">
        <f>'UBS Vila Dalva 1° SEM'!C20+'UBS Jardim Boa Vista 1° SEM'!#REF!+'UBS e NASF Jd D Abril 1° SEM'!C17+'UBS Jd Jaqueline 1° SEM'!C15+'UBS E NASF Malta Cardoso 1° SEM'!C22+'AMA_ UBS e NASF Paulo VI 1° SEM'!C19+'UBS Real Parque 1° SEM'!#REF!+' AMA e UBS Sao Jorge 1° SEM'!C23</f>
        <v>#REF!</v>
      </c>
      <c r="E4" s="224" t="e">
        <f t="shared" ref="E4:I18" si="0">D4-C4</f>
        <v>#REF!</v>
      </c>
      <c r="F4" s="225" t="e">
        <f>'UBS Vila Dalva 1° SEM'!E20+'UBS Jardim Boa Vista 1° SEM'!#REF!+'UBS e NASF Jd D Abril 1° SEM'!E17+'UBS Jd Jaqueline 1° SEM'!E15+'UBS E NASF Malta Cardoso 1° SEM'!E22+'AMA_ UBS e NASF Paulo VI 1° SEM'!E19+'UBS Real Parque 1° SEM'!#REF!+' AMA e UBS Sao Jorge 1° SEM'!E23</f>
        <v>#REF!</v>
      </c>
      <c r="G4" s="226" t="e">
        <f t="shared" ref="G4" si="1">F4-C4</f>
        <v>#REF!</v>
      </c>
      <c r="H4" s="225" t="e">
        <f>'UBS Vila Dalva 1° SEM'!G20+'UBS Jardim Boa Vista 1° SEM'!#REF!+'UBS e NASF Jd D Abril 1° SEM'!G17+'UBS Jd Jaqueline 1° SEM'!G15+'UBS E NASF Malta Cardoso 1° SEM'!G22+'AMA_ UBS e NASF Paulo VI 1° SEM'!G19+'UBS Real Parque 1° SEM'!#REF!+' AMA e UBS Sao Jorge 1° SEM'!G23</f>
        <v>#REF!</v>
      </c>
      <c r="I4" s="226" t="e">
        <f t="shared" ref="I4" si="2">H4-C4</f>
        <v>#REF!</v>
      </c>
      <c r="J4" s="227" t="e">
        <f>D4+F4+H4</f>
        <v>#REF!</v>
      </c>
      <c r="K4" s="228" t="e">
        <f>J4-(3*$C4)</f>
        <v>#REF!</v>
      </c>
      <c r="L4" s="225" t="e">
        <f>'UBS Vila Dalva 1° SEM'!K20+'UBS Jardim Boa Vista 1° SEM'!#REF!+'UBS e NASF Jd D Abril 1° SEM'!K17+'UBS Jd Jaqueline 1° SEM'!K15+'UBS E NASF Malta Cardoso 1° SEM'!K22+'AMA_ UBS e NASF Paulo VI 1° SEM'!K19+'UBS Real Parque 1° SEM'!#REF!+' AMA e UBS Sao Jorge 1° SEM'!K23</f>
        <v>#REF!</v>
      </c>
      <c r="M4" s="229" t="e">
        <f t="shared" ref="M4:Q16" si="3">L4-C4</f>
        <v>#REF!</v>
      </c>
      <c r="N4" s="230" t="e">
        <f>'UBS Vila Dalva 1° SEM'!M20+'UBS Jardim Boa Vista 1° SEM'!#REF!+'UBS e NASF Jd D Abril 1° SEM'!M17+'UBS Jd Jaqueline 1° SEM'!M15+'UBS E NASF Malta Cardoso 1° SEM'!M22+'AMA_ UBS e NASF Paulo VI 1° SEM'!M19+'UBS Real Parque 1° SEM'!#REF!+' AMA e UBS Sao Jorge 1° SEM'!M23</f>
        <v>#REF!</v>
      </c>
      <c r="O4" s="438" t="e">
        <f t="shared" ref="O4:O16" si="4">N4-C4</f>
        <v>#REF!</v>
      </c>
      <c r="P4" s="225" t="e">
        <f>'UBS Vila Dalva 1° SEM'!O20+'UBS Jardim Boa Vista 1° SEM'!#REF!+'UBS e NASF Jd D Abril 1° SEM'!O17+'UBS Jd Jaqueline 1° SEM'!O15+'UBS E NASF Malta Cardoso 1° SEM'!O22+'AMA_ UBS e NASF Paulo VI 1° SEM'!O19+'UBS Real Parque 1° SEM'!#REF!+' AMA e UBS Sao Jorge 1° SEM'!O23</f>
        <v>#REF!</v>
      </c>
      <c r="Q4" s="226" t="e">
        <f>P4-$C4</f>
        <v>#REF!</v>
      </c>
      <c r="R4" s="227" t="e">
        <f>P4+L4+N4</f>
        <v>#REF!</v>
      </c>
      <c r="S4" s="231" t="e">
        <f>R4-(3*$C4)</f>
        <v>#REF!</v>
      </c>
    </row>
    <row r="5" spans="1:19" x14ac:dyDescent="0.25">
      <c r="A5" t="s">
        <v>258</v>
      </c>
      <c r="B5" s="197" t="s">
        <v>302</v>
      </c>
      <c r="C5" s="232" t="e">
        <f>'UBS Vila Dalva 1° SEM'!B21+'UBS Jardim Boa Vista 1° SEM'!#REF!+'UBS e NASF Jd D Abril 1° SEM'!B18+'UBS Jd Jaqueline 1° SEM'!B16+'UBS E NASF Malta Cardoso 1° SEM'!B23+'UBS Real Parque 1° SEM'!#REF!+'UBS Sao Remo 1° SEM'!B24+'AMA_ UBS e NASF Paulo VI 1° SEM'!B20+' AMA e UBS Sao Jorge 1° SEM'!B24</f>
        <v>#REF!</v>
      </c>
      <c r="D5" s="234" t="e">
        <f>'UBS Vila Dalva 1° SEM'!C21+'UBS Jardim Boa Vista 1° SEM'!#REF!+'UBS e NASF Jd D Abril 1° SEM'!C18+'UBS Jd Jaqueline 1° SEM'!C16+'UBS E NASF Malta Cardoso 1° SEM'!C23+'AMA_ UBS e NASF Paulo VI 1° SEM'!C20+'UBS Real Parque 1° SEM'!#REF!+' AMA e UBS Sao Jorge 1° SEM'!C24</f>
        <v>#REF!</v>
      </c>
      <c r="E5" s="233" t="e">
        <f t="shared" si="0"/>
        <v>#REF!</v>
      </c>
      <c r="F5" s="234" t="e">
        <f>'UBS Vila Dalva 1° SEM'!E21+'UBS Jardim Boa Vista 1° SEM'!#REF!+'UBS e NASF Jd D Abril 1° SEM'!E18+'UBS Jd Jaqueline 1° SEM'!E16+'UBS E NASF Malta Cardoso 1° SEM'!E23+'AMA_ UBS e NASF Paulo VI 1° SEM'!E20+'UBS Real Parque 1° SEM'!#REF!+' AMA e UBS Sao Jorge 1° SEM'!E24</f>
        <v>#REF!</v>
      </c>
      <c r="G5" s="235" t="e">
        <f t="shared" si="0"/>
        <v>#REF!</v>
      </c>
      <c r="H5" s="234" t="e">
        <f>'UBS Vila Dalva 1° SEM'!G21+'UBS Jardim Boa Vista 1° SEM'!#REF!+'UBS e NASF Jd D Abril 1° SEM'!G18+'UBS Jd Jaqueline 1° SEM'!G16+'UBS E NASF Malta Cardoso 1° SEM'!G23+'AMA_ UBS e NASF Paulo VI 1° SEM'!G20+'UBS Real Parque 1° SEM'!#REF!+' AMA e UBS Sao Jorge 1° SEM'!G24</f>
        <v>#REF!</v>
      </c>
      <c r="I5" s="226" t="e">
        <f t="shared" si="0"/>
        <v>#REF!</v>
      </c>
      <c r="J5" s="236" t="e">
        <f t="shared" ref="J5:J16" si="5">D5+F5+H5</f>
        <v>#REF!</v>
      </c>
      <c r="K5" s="237" t="e">
        <f t="shared" ref="K5:K16" si="6">J5-(3*$C5)</f>
        <v>#REF!</v>
      </c>
      <c r="L5" s="234" t="e">
        <f>'UBS Vila Dalva 1° SEM'!K21+'UBS Jardim Boa Vista 1° SEM'!#REF!+'UBS e NASF Jd D Abril 1° SEM'!K18+'UBS Jd Jaqueline 1° SEM'!K16+'UBS E NASF Malta Cardoso 1° SEM'!K23+'AMA_ UBS e NASF Paulo VI 1° SEM'!K20+'UBS Real Parque 1° SEM'!#REF!+' AMA e UBS Sao Jorge 1° SEM'!K24</f>
        <v>#REF!</v>
      </c>
      <c r="M5" s="235" t="e">
        <f t="shared" si="3"/>
        <v>#REF!</v>
      </c>
      <c r="N5" s="234" t="e">
        <f>'UBS Vila Dalva 1° SEM'!M21+'UBS Jardim Boa Vista 1° SEM'!#REF!+'UBS e NASF Jd D Abril 1° SEM'!M18+'UBS Jd Jaqueline 1° SEM'!M16+'UBS E NASF Malta Cardoso 1° SEM'!M23+'AMA_ UBS e NASF Paulo VI 1° SEM'!M20+'UBS Real Parque 1° SEM'!#REF!+' AMA e UBS Sao Jorge 1° SEM'!M24</f>
        <v>#REF!</v>
      </c>
      <c r="O5" s="439" t="e">
        <f t="shared" si="4"/>
        <v>#REF!</v>
      </c>
      <c r="P5" s="234" t="e">
        <f>'UBS Vila Dalva 1° SEM'!O21+'UBS Jardim Boa Vista 1° SEM'!#REF!+'UBS e NASF Jd D Abril 1° SEM'!O18+'UBS Jd Jaqueline 1° SEM'!O16+'UBS E NASF Malta Cardoso 1° SEM'!O23+'AMA_ UBS e NASF Paulo VI 1° SEM'!O20+'UBS Real Parque 1° SEM'!#REF!+' AMA e UBS Sao Jorge 1° SEM'!O24</f>
        <v>#REF!</v>
      </c>
      <c r="Q5" s="226" t="e">
        <f t="shared" si="3"/>
        <v>#REF!</v>
      </c>
      <c r="R5" s="236" t="e">
        <f t="shared" ref="R5:R16" si="7">P5+L5+N5</f>
        <v>#REF!</v>
      </c>
      <c r="S5" s="238" t="e">
        <f t="shared" ref="S5:S17" si="8">R5-(3*$C5)</f>
        <v>#REF!</v>
      </c>
    </row>
    <row r="6" spans="1:19" x14ac:dyDescent="0.25">
      <c r="A6" t="s">
        <v>258</v>
      </c>
      <c r="B6" s="197" t="s">
        <v>301</v>
      </c>
      <c r="C6" s="232" t="e">
        <f>'UBS Vila Dalva 1° SEM'!B22+'UBS Jardim Boa Vista 1° SEM'!#REF!+'UBS e NASF Jd D Abril 1° SEM'!B19+'UBS Jd Jaqueline 1° SEM'!B17+'UBS E NASF Malta Cardoso 1° SEM'!B24+'UBS Real Parque 1° SEM'!#REF!+'UBS Sao Remo 1° SEM'!B25+'AMA_ UBS e NASF Paulo VI 1° SEM'!B21+' AMA e UBS Sao Jorge 1° SEM'!B25</f>
        <v>#REF!</v>
      </c>
      <c r="D6" s="234" t="e">
        <f>'UBS Vila Dalva 1° SEM'!C22+'UBS Jardim Boa Vista 1° SEM'!#REF!+'UBS e NASF Jd D Abril 1° SEM'!C19+'UBS Jd Jaqueline 1° SEM'!C17+'UBS E NASF Malta Cardoso 1° SEM'!C24+'AMA_ UBS e NASF Paulo VI 1° SEM'!C21+'UBS Real Parque 1° SEM'!#REF!+' AMA e UBS Sao Jorge 1° SEM'!C25</f>
        <v>#REF!</v>
      </c>
      <c r="E6" s="233" t="e">
        <f t="shared" si="0"/>
        <v>#REF!</v>
      </c>
      <c r="F6" s="234" t="e">
        <f>'UBS Vila Dalva 1° SEM'!E22+'UBS Jardim Boa Vista 1° SEM'!#REF!+'UBS e NASF Jd D Abril 1° SEM'!E19+'UBS Jd Jaqueline 1° SEM'!E17+'UBS E NASF Malta Cardoso 1° SEM'!E24+'AMA_ UBS e NASF Paulo VI 1° SEM'!E21+'UBS Real Parque 1° SEM'!#REF!+' AMA e UBS Sao Jorge 1° SEM'!E25</f>
        <v>#REF!</v>
      </c>
      <c r="G6" s="235" t="e">
        <f t="shared" si="0"/>
        <v>#REF!</v>
      </c>
      <c r="H6" s="234" t="e">
        <f>'UBS Vila Dalva 1° SEM'!G22+'UBS Jardim Boa Vista 1° SEM'!#REF!+'UBS e NASF Jd D Abril 1° SEM'!G19+'UBS Jd Jaqueline 1° SEM'!G17+'UBS E NASF Malta Cardoso 1° SEM'!G24+'AMA_ UBS e NASF Paulo VI 1° SEM'!G21+'UBS Real Parque 1° SEM'!#REF!+' AMA e UBS Sao Jorge 1° SEM'!G25</f>
        <v>#REF!</v>
      </c>
      <c r="I6" s="226" t="e">
        <f t="shared" si="0"/>
        <v>#REF!</v>
      </c>
      <c r="J6" s="236" t="e">
        <f t="shared" si="5"/>
        <v>#REF!</v>
      </c>
      <c r="K6" s="237" t="e">
        <f t="shared" si="6"/>
        <v>#REF!</v>
      </c>
      <c r="L6" s="234" t="e">
        <f>'UBS Vila Dalva 1° SEM'!K22+'UBS Jardim Boa Vista 1° SEM'!#REF!+'UBS e NASF Jd D Abril 1° SEM'!K19+'UBS Jd Jaqueline 1° SEM'!K17+'UBS E NASF Malta Cardoso 1° SEM'!K24+'AMA_ UBS e NASF Paulo VI 1° SEM'!K21+'UBS Real Parque 1° SEM'!#REF!+' AMA e UBS Sao Jorge 1° SEM'!K25</f>
        <v>#REF!</v>
      </c>
      <c r="M6" s="235" t="e">
        <f t="shared" si="3"/>
        <v>#REF!</v>
      </c>
      <c r="N6" s="234" t="e">
        <f>'UBS Vila Dalva 1° SEM'!M22+'UBS Jardim Boa Vista 1° SEM'!#REF!+'UBS e NASF Jd D Abril 1° SEM'!M19+'UBS Jd Jaqueline 1° SEM'!M17+'UBS E NASF Malta Cardoso 1° SEM'!M24+'AMA_ UBS e NASF Paulo VI 1° SEM'!M21+'UBS Real Parque 1° SEM'!#REF!+' AMA e UBS Sao Jorge 1° SEM'!M25</f>
        <v>#REF!</v>
      </c>
      <c r="O6" s="439" t="e">
        <f t="shared" si="4"/>
        <v>#REF!</v>
      </c>
      <c r="P6" s="234" t="e">
        <f>'UBS Vila Dalva 1° SEM'!O22+'UBS Jardim Boa Vista 1° SEM'!#REF!+'UBS e NASF Jd D Abril 1° SEM'!O19+'UBS Jd Jaqueline 1° SEM'!O17+'UBS E NASF Malta Cardoso 1° SEM'!O24+'AMA_ UBS e NASF Paulo VI 1° SEM'!O21+'UBS Real Parque 1° SEM'!#REF!+' AMA e UBS Sao Jorge 1° SEM'!O25</f>
        <v>#REF!</v>
      </c>
      <c r="Q6" s="226" t="e">
        <f t="shared" si="3"/>
        <v>#REF!</v>
      </c>
      <c r="R6" s="236" t="e">
        <f t="shared" si="7"/>
        <v>#REF!</v>
      </c>
      <c r="S6" s="238" t="e">
        <f t="shared" si="8"/>
        <v>#REF!</v>
      </c>
    </row>
    <row r="7" spans="1:19" x14ac:dyDescent="0.25">
      <c r="A7" t="s">
        <v>258</v>
      </c>
      <c r="B7" s="197" t="s">
        <v>300</v>
      </c>
      <c r="C7" s="232" t="e">
        <f>'UBS Vila Dalva 1° SEM'!B23+'UBS Jardim Boa Vista 1° SEM'!#REF!+'UBS E NASF Malta Cardoso 1° SEM'!B25+' AMA e UBS Sao Jorge 1° SEM'!B26</f>
        <v>#REF!</v>
      </c>
      <c r="D7" s="234" t="e">
        <f>'UBS Vila Dalva 1° SEM'!C23+'UBS Jardim Boa Vista 1° SEM'!#REF!+'UBS e NASF Jd D Abril 1° SEM'!C20+'AMA_ UBS e NASF Paulo VI 1° SEM'!C25+' AMA e UBS Sao Jorge 1° SEM'!C26</f>
        <v>#REF!</v>
      </c>
      <c r="E7" s="233" t="e">
        <f t="shared" si="0"/>
        <v>#REF!</v>
      </c>
      <c r="F7" s="234" t="e">
        <f>'UBS Vila Dalva 1° SEM'!E23+'UBS Jardim Boa Vista 1° SEM'!#REF!+'UBS e NASF Jd D Abril 1° SEM'!E20+'AMA_ UBS e NASF Paulo VI 1° SEM'!E25+' AMA e UBS Sao Jorge 1° SEM'!E26</f>
        <v>#REF!</v>
      </c>
      <c r="G7" s="235" t="e">
        <f t="shared" si="0"/>
        <v>#REF!</v>
      </c>
      <c r="H7" s="234" t="e">
        <f>'UBS Vila Dalva 1° SEM'!G23+'UBS Jardim Boa Vista 1° SEM'!#REF!+'UBS e NASF Jd D Abril 1° SEM'!G20+'AMA_ UBS e NASF Paulo VI 1° SEM'!G25+' AMA e UBS Sao Jorge 1° SEM'!G26</f>
        <v>#REF!</v>
      </c>
      <c r="I7" s="226" t="e">
        <f t="shared" si="0"/>
        <v>#REF!</v>
      </c>
      <c r="J7" s="236" t="e">
        <f t="shared" si="5"/>
        <v>#REF!</v>
      </c>
      <c r="K7" s="237" t="e">
        <f t="shared" si="6"/>
        <v>#REF!</v>
      </c>
      <c r="L7" s="234" t="e">
        <f>'UBS Vila Dalva 1° SEM'!K23+'UBS Jardim Boa Vista 1° SEM'!#REF!+'UBS e NASF Jd D Abril 1° SEM'!K20+'AMA_ UBS e NASF Paulo VI 1° SEM'!K25+' AMA e UBS Sao Jorge 1° SEM'!K26</f>
        <v>#REF!</v>
      </c>
      <c r="M7" s="235" t="e">
        <f t="shared" si="3"/>
        <v>#REF!</v>
      </c>
      <c r="N7" s="234" t="e">
        <f>'UBS Vila Dalva 1° SEM'!M23+'UBS Jardim Boa Vista 1° SEM'!#REF!+'UBS e NASF Jd D Abril 1° SEM'!M20+'AMA_ UBS e NASF Paulo VI 1° SEM'!M25+' AMA e UBS Sao Jorge 1° SEM'!M26</f>
        <v>#REF!</v>
      </c>
      <c r="O7" s="439" t="e">
        <f t="shared" si="4"/>
        <v>#REF!</v>
      </c>
      <c r="P7" s="234" t="e">
        <f>'UBS Vila Dalva 1° SEM'!O23+'UBS Jardim Boa Vista 1° SEM'!#REF!+'UBS e NASF Jd D Abril 1° SEM'!O20+'AMA_ UBS e NASF Paulo VI 1° SEM'!O25+' AMA e UBS Sao Jorge 1° SEM'!O26</f>
        <v>#REF!</v>
      </c>
      <c r="Q7" s="226" t="e">
        <f t="shared" si="3"/>
        <v>#REF!</v>
      </c>
      <c r="R7" s="236" t="e">
        <f t="shared" si="7"/>
        <v>#REF!</v>
      </c>
      <c r="S7" s="238" t="e">
        <f t="shared" si="8"/>
        <v>#REF!</v>
      </c>
    </row>
    <row r="8" spans="1:19" x14ac:dyDescent="0.25">
      <c r="A8" t="s">
        <v>258</v>
      </c>
      <c r="B8" s="197" t="s">
        <v>299</v>
      </c>
      <c r="C8" s="232" t="e">
        <f>'UBS Jardim Boa Vista 1° SEM'!#REF!+'UBS E NASF Malta Cardoso 1° SEM'!B26+'AMA e UBS Vila Sonia 1° SEM'!B18+'UBS Real Parque 1° SEM'!#REF!+' AMA e UBS Sao Jorge 1° SEM'!B27</f>
        <v>#REF!</v>
      </c>
      <c r="D8" s="234" t="e">
        <f>'UBS Jardim Boa Vista 1° SEM'!#REF!+'UBS E NASF Malta Cardoso 1° SEM'!C26+'AMA e UBS Vila Sonia 1° SEM'!C18+'UBS Real Parque 1° SEM'!#REF!+' AMA e UBS Sao Jorge 1° SEM'!C27</f>
        <v>#REF!</v>
      </c>
      <c r="E8" s="233" t="e">
        <f t="shared" si="0"/>
        <v>#REF!</v>
      </c>
      <c r="F8" s="234" t="e">
        <f>'UBS Jardim Boa Vista 1° SEM'!#REF!+'UBS E NASF Malta Cardoso 1° SEM'!E26+'AMA e UBS Vila Sonia 1° SEM'!E18+'UBS Real Parque 1° SEM'!#REF!+' AMA e UBS Sao Jorge 1° SEM'!E27</f>
        <v>#REF!</v>
      </c>
      <c r="G8" s="235" t="e">
        <f t="shared" si="0"/>
        <v>#REF!</v>
      </c>
      <c r="H8" s="234" t="e">
        <f>'UBS Jardim Boa Vista 1° SEM'!#REF!+'UBS E NASF Malta Cardoso 1° SEM'!G26+'AMA e UBS Vila Sonia 1° SEM'!G18+'UBS Real Parque 1° SEM'!#REF!+' AMA e UBS Sao Jorge 1° SEM'!G27</f>
        <v>#REF!</v>
      </c>
      <c r="I8" s="226" t="e">
        <f t="shared" si="0"/>
        <v>#REF!</v>
      </c>
      <c r="J8" s="236" t="e">
        <f t="shared" si="5"/>
        <v>#REF!</v>
      </c>
      <c r="K8" s="237" t="e">
        <f t="shared" si="6"/>
        <v>#REF!</v>
      </c>
      <c r="L8" s="234" t="e">
        <f>'UBS Jardim Boa Vista 1° SEM'!#REF!+'UBS E NASF Malta Cardoso 1° SEM'!K26+'AMA e UBS Vila Sonia 1° SEM'!K18+'UBS Real Parque 1° SEM'!#REF!+' AMA e UBS Sao Jorge 1° SEM'!K27</f>
        <v>#REF!</v>
      </c>
      <c r="M8" s="235" t="e">
        <f t="shared" si="3"/>
        <v>#REF!</v>
      </c>
      <c r="N8" s="234" t="e">
        <f>'UBS Jardim Boa Vista 1° SEM'!#REF!+'UBS E NASF Malta Cardoso 1° SEM'!M26+'AMA e UBS Vila Sonia 1° SEM'!M18+'UBS Real Parque 1° SEM'!#REF!+' AMA e UBS Sao Jorge 1° SEM'!M27</f>
        <v>#REF!</v>
      </c>
      <c r="O8" s="439" t="e">
        <f t="shared" si="4"/>
        <v>#REF!</v>
      </c>
      <c r="P8" s="234" t="e">
        <f>'UBS Jardim Boa Vista 1° SEM'!#REF!+'UBS E NASF Malta Cardoso 1° SEM'!O26+'AMA e UBS Vila Sonia 1° SEM'!O18+'UBS Real Parque 1° SEM'!#REF!+' AMA e UBS Sao Jorge 1° SEM'!O27</f>
        <v>#REF!</v>
      </c>
      <c r="Q8" s="226" t="e">
        <f t="shared" si="3"/>
        <v>#REF!</v>
      </c>
      <c r="R8" s="236" t="e">
        <f t="shared" si="7"/>
        <v>#REF!</v>
      </c>
      <c r="S8" s="238" t="e">
        <f t="shared" si="8"/>
        <v>#REF!</v>
      </c>
    </row>
    <row r="9" spans="1:19" x14ac:dyDescent="0.25">
      <c r="A9" t="s">
        <v>258</v>
      </c>
      <c r="B9" s="197" t="s">
        <v>298</v>
      </c>
      <c r="C9" s="232" t="e">
        <f>'UBS Vila Dalva 1° SEM'!B24+'UBS E NASF Malta Cardoso 1° SEM'!B27+'UBS Real Parque 1° SEM'!#REF!+'UBS Sao Remo 1° SEM'!B26+'AMA_ UBS e NASF Paulo VI 1° SEM'!B22+' AMA e UBS Sao Jorge 1° SEM'!B28</f>
        <v>#REF!</v>
      </c>
      <c r="D9" s="234" t="e">
        <f>'UBS Jardim Boa Vista 1° SEM'!#REF!+'UBS E NASF Malta Cardoso 1° SEM'!C26+'AMA e UBS Vila Sonia 1° SEM'!C18+' AMA e UBS Sao Jorge 1° SEM'!C27</f>
        <v>#REF!</v>
      </c>
      <c r="E9" s="233" t="e">
        <f t="shared" si="0"/>
        <v>#REF!</v>
      </c>
      <c r="F9" s="234" t="e">
        <f>'UBS Jardim Boa Vista 1° SEM'!#REF!+'UBS E NASF Malta Cardoso 1° SEM'!E26+'AMA e UBS Vila Sonia 1° SEM'!E18+' AMA e UBS Sao Jorge 1° SEM'!E27</f>
        <v>#REF!</v>
      </c>
      <c r="G9" s="235" t="e">
        <f t="shared" si="0"/>
        <v>#REF!</v>
      </c>
      <c r="H9" s="234" t="e">
        <f>'UBS Jardim Boa Vista 1° SEM'!#REF!+'UBS E NASF Malta Cardoso 1° SEM'!G26+'AMA e UBS Vila Sonia 1° SEM'!G18+' AMA e UBS Sao Jorge 1° SEM'!G27</f>
        <v>#REF!</v>
      </c>
      <c r="I9" s="226" t="e">
        <f t="shared" si="0"/>
        <v>#REF!</v>
      </c>
      <c r="J9" s="236" t="e">
        <f t="shared" si="5"/>
        <v>#REF!</v>
      </c>
      <c r="K9" s="237" t="e">
        <f t="shared" si="6"/>
        <v>#REF!</v>
      </c>
      <c r="L9" s="234" t="e">
        <f>'UBS Jardim Boa Vista 1° SEM'!#REF!+'UBS E NASF Malta Cardoso 1° SEM'!K26+'AMA e UBS Vila Sonia 1° SEM'!K18+' AMA e UBS Sao Jorge 1° SEM'!K27</f>
        <v>#REF!</v>
      </c>
      <c r="M9" s="235" t="e">
        <f t="shared" si="3"/>
        <v>#REF!</v>
      </c>
      <c r="N9" s="234" t="e">
        <f>'UBS Jardim Boa Vista 1° SEM'!#REF!+'UBS E NASF Malta Cardoso 1° SEM'!M26+'AMA e UBS Vila Sonia 1° SEM'!M18+' AMA e UBS Sao Jorge 1° SEM'!M27</f>
        <v>#REF!</v>
      </c>
      <c r="O9" s="439" t="e">
        <f t="shared" si="4"/>
        <v>#REF!</v>
      </c>
      <c r="P9" s="234" t="e">
        <f>'UBS Jardim Boa Vista 1° SEM'!#REF!+'UBS E NASF Malta Cardoso 1° SEM'!O26+'AMA e UBS Vila Sonia 1° SEM'!O18+' AMA e UBS Sao Jorge 1° SEM'!O27</f>
        <v>#REF!</v>
      </c>
      <c r="Q9" s="226" t="e">
        <f t="shared" si="3"/>
        <v>#REF!</v>
      </c>
      <c r="R9" s="236" t="e">
        <f t="shared" si="7"/>
        <v>#REF!</v>
      </c>
      <c r="S9" s="238" t="e">
        <f t="shared" si="8"/>
        <v>#REF!</v>
      </c>
    </row>
    <row r="10" spans="1:19" x14ac:dyDescent="0.25">
      <c r="A10" t="s">
        <v>258</v>
      </c>
      <c r="B10" s="197" t="s">
        <v>297</v>
      </c>
      <c r="C10" s="232" t="e">
        <f>'UBS Vila Dalva 1° SEM'!B25+'UBS Jardim Boa Vista 1° SEM'!#REF!+'UBS E NASF Malta Cardoso 1° SEM'!B29+'UBS Real Parque 1° SEM'!#REF!+'UBS Sao Remo 1° SEM'!B28+'AMA e UBS Vila Sonia 1° SEM'!B21+'AMA_ UBS e NASF Paulo VI 1° SEM'!B35+' AMA e UBS Sao Jorge 1° SEM'!B40</f>
        <v>#REF!</v>
      </c>
      <c r="D10" s="234" t="e">
        <f>'UBS Vila Dalva 1° SEM'!C25+'UBS Jardim Boa Vista 1° SEM'!#REF!+'UBS E NASF Malta Cardoso 1° SEM'!C39+'AMA e UBS Vila Sonia 1° SEM'!C21+'AMA_ UBS e NASF Paulo VI 1° SEM'!C35+'UBS Real Parque 1° SEM'!#REF!+' AMA e UBS Sao Jorge 1° SEM'!C29</f>
        <v>#REF!</v>
      </c>
      <c r="E10" s="233" t="e">
        <f t="shared" si="0"/>
        <v>#REF!</v>
      </c>
      <c r="F10" s="234" t="e">
        <f>'UBS Vila Dalva 1° SEM'!E25+'UBS Jardim Boa Vista 1° SEM'!#REF!+'UBS E NASF Malta Cardoso 1° SEM'!E39+'AMA e UBS Vila Sonia 1° SEM'!E21+'AMA_ UBS e NASF Paulo VI 1° SEM'!E35+'UBS Real Parque 1° SEM'!#REF!+' AMA e UBS Sao Jorge 1° SEM'!E29</f>
        <v>#REF!</v>
      </c>
      <c r="G10" s="235" t="e">
        <f t="shared" si="0"/>
        <v>#REF!</v>
      </c>
      <c r="H10" s="234" t="e">
        <f>'UBS Vila Dalva 1° SEM'!G25+'UBS Jardim Boa Vista 1° SEM'!#REF!+'UBS E NASF Malta Cardoso 1° SEM'!G39+'AMA e UBS Vila Sonia 1° SEM'!G21+'AMA_ UBS e NASF Paulo VI 1° SEM'!G35+'UBS Real Parque 1° SEM'!#REF!+' AMA e UBS Sao Jorge 1° SEM'!G29</f>
        <v>#REF!</v>
      </c>
      <c r="I10" s="226" t="e">
        <f t="shared" si="0"/>
        <v>#REF!</v>
      </c>
      <c r="J10" s="236" t="e">
        <f t="shared" si="5"/>
        <v>#REF!</v>
      </c>
      <c r="K10" s="237" t="e">
        <f t="shared" si="6"/>
        <v>#REF!</v>
      </c>
      <c r="L10" s="234" t="e">
        <f>'UBS Vila Dalva 1° SEM'!K25+'UBS Jardim Boa Vista 1° SEM'!#REF!+'UBS E NASF Malta Cardoso 1° SEM'!K39+'AMA e UBS Vila Sonia 1° SEM'!K21+'AMA_ UBS e NASF Paulo VI 1° SEM'!K35+'UBS Real Parque 1° SEM'!#REF!+' AMA e UBS Sao Jorge 1° SEM'!K29</f>
        <v>#REF!</v>
      </c>
      <c r="M10" s="235" t="e">
        <f t="shared" si="3"/>
        <v>#REF!</v>
      </c>
      <c r="N10" s="234" t="e">
        <f>'UBS Vila Dalva 1° SEM'!M25+'UBS Jardim Boa Vista 1° SEM'!#REF!+'UBS E NASF Malta Cardoso 1° SEM'!M39+'AMA e UBS Vila Sonia 1° SEM'!M21+'AMA_ UBS e NASF Paulo VI 1° SEM'!M35+'UBS Real Parque 1° SEM'!#REF!+' AMA e UBS Sao Jorge 1° SEM'!M29</f>
        <v>#REF!</v>
      </c>
      <c r="O10" s="439" t="e">
        <f t="shared" si="4"/>
        <v>#REF!</v>
      </c>
      <c r="P10" s="234" t="e">
        <f>'UBS Vila Dalva 1° SEM'!O25+'UBS Jardim Boa Vista 1° SEM'!#REF!+'UBS E NASF Malta Cardoso 1° SEM'!O39+'AMA e UBS Vila Sonia 1° SEM'!O21+'AMA_ UBS e NASF Paulo VI 1° SEM'!O35+'UBS Real Parque 1° SEM'!#REF!+' AMA e UBS Sao Jorge 1° SEM'!O29</f>
        <v>#REF!</v>
      </c>
      <c r="Q10" s="226" t="e">
        <f t="shared" si="3"/>
        <v>#REF!</v>
      </c>
      <c r="R10" s="236" t="e">
        <f t="shared" si="7"/>
        <v>#REF!</v>
      </c>
      <c r="S10" s="238" t="e">
        <f t="shared" si="8"/>
        <v>#REF!</v>
      </c>
    </row>
    <row r="11" spans="1:19" x14ac:dyDescent="0.25">
      <c r="A11" t="s">
        <v>258</v>
      </c>
      <c r="B11" s="197" t="s">
        <v>296</v>
      </c>
      <c r="C11" s="232" t="e">
        <f>'UBS Vila Dalva 1° SEM'!B26+'UBS Jardim Boa Vista 1° SEM'!#REF!+'UBS Real Parque 1° SEM'!#REF!+'UBS Sao Remo 1° SEM'!B29+'AMA e UBS Vila Sonia 1° SEM'!B22+' AMA e UBS Sao Jorge 1° SEM'!B31</f>
        <v>#REF!</v>
      </c>
      <c r="D11" s="234" t="e">
        <f>'UBS Vila Dalva 1° SEM'!C26+'UBS Jardim Boa Vista 1° SEM'!#REF!+'UBS e NASF Jd D Abril 1° SEM'!C32+'UBS E NASF Malta Cardoso 1° SEM'!C40+'AMA e UBS Vila Sonia 1° SEM'!C22+'AMA_ UBS e NASF Paulo VI 1° SEM'!C36+'UBS Real Parque 1° SEM'!#REF!</f>
        <v>#REF!</v>
      </c>
      <c r="E11" s="233" t="e">
        <f t="shared" si="0"/>
        <v>#REF!</v>
      </c>
      <c r="F11" s="234" t="e">
        <f>'UBS Vila Dalva 1° SEM'!E26+'UBS Jardim Boa Vista 1° SEM'!#REF!+'UBS e NASF Jd D Abril 1° SEM'!E32+'UBS E NASF Malta Cardoso 1° SEM'!E40+'AMA e UBS Vila Sonia 1° SEM'!E22+'AMA_ UBS e NASF Paulo VI 1° SEM'!E36+'UBS Real Parque 1° SEM'!#REF!</f>
        <v>#REF!</v>
      </c>
      <c r="G11" s="235" t="e">
        <f t="shared" si="0"/>
        <v>#REF!</v>
      </c>
      <c r="H11" s="234" t="e">
        <f>'UBS Vila Dalva 1° SEM'!G26+'UBS Jardim Boa Vista 1° SEM'!#REF!+'UBS e NASF Jd D Abril 1° SEM'!G32+'UBS E NASF Malta Cardoso 1° SEM'!G40+'AMA e UBS Vila Sonia 1° SEM'!G22+'AMA_ UBS e NASF Paulo VI 1° SEM'!G36+'UBS Real Parque 1° SEM'!#REF!</f>
        <v>#REF!</v>
      </c>
      <c r="I11" s="226" t="e">
        <f t="shared" si="0"/>
        <v>#REF!</v>
      </c>
      <c r="J11" s="236" t="e">
        <f t="shared" si="5"/>
        <v>#REF!</v>
      </c>
      <c r="K11" s="237" t="e">
        <f t="shared" si="6"/>
        <v>#REF!</v>
      </c>
      <c r="L11" s="234" t="e">
        <f>'UBS Vila Dalva 1° SEM'!K26+'UBS Jardim Boa Vista 1° SEM'!#REF!+'UBS e NASF Jd D Abril 1° SEM'!K32+'UBS E NASF Malta Cardoso 1° SEM'!K40+'AMA e UBS Vila Sonia 1° SEM'!K22+'AMA_ UBS e NASF Paulo VI 1° SEM'!K36+'UBS Real Parque 1° SEM'!#REF!</f>
        <v>#REF!</v>
      </c>
      <c r="M11" s="235" t="e">
        <f t="shared" si="3"/>
        <v>#REF!</v>
      </c>
      <c r="N11" s="234" t="e">
        <f>'UBS Vila Dalva 1° SEM'!M26+'UBS Jardim Boa Vista 1° SEM'!#REF!+'UBS e NASF Jd D Abril 1° SEM'!M32+'UBS E NASF Malta Cardoso 1° SEM'!M40+'AMA e UBS Vila Sonia 1° SEM'!M22+'AMA_ UBS e NASF Paulo VI 1° SEM'!M36+'UBS Real Parque 1° SEM'!#REF!</f>
        <v>#REF!</v>
      </c>
      <c r="O11" s="439" t="e">
        <f t="shared" si="4"/>
        <v>#REF!</v>
      </c>
      <c r="P11" s="234" t="e">
        <f>'UBS Vila Dalva 1° SEM'!O26+'UBS Jardim Boa Vista 1° SEM'!#REF!+'UBS e NASF Jd D Abril 1° SEM'!O32+'UBS E NASF Malta Cardoso 1° SEM'!O40+'AMA e UBS Vila Sonia 1° SEM'!O22+'AMA_ UBS e NASF Paulo VI 1° SEM'!O36+'UBS Real Parque 1° SEM'!#REF!</f>
        <v>#REF!</v>
      </c>
      <c r="Q11" s="226" t="e">
        <f t="shared" si="3"/>
        <v>#REF!</v>
      </c>
      <c r="R11" s="236" t="e">
        <f t="shared" si="7"/>
        <v>#REF!</v>
      </c>
      <c r="S11" s="238" t="e">
        <f t="shared" si="8"/>
        <v>#REF!</v>
      </c>
    </row>
    <row r="12" spans="1:19" x14ac:dyDescent="0.25">
      <c r="A12" t="s">
        <v>258</v>
      </c>
      <c r="B12" s="197" t="s">
        <v>295</v>
      </c>
      <c r="C12" s="232" t="e">
        <f>'UBS E NASF Malta Cardoso 1° SEM'!B28+'UBS Real Parque 1° SEM'!#REF!+'UBS Sao Remo 1° SEM'!B27+'AMA e UBS Vila Sonia 1° SEM'!B20</f>
        <v>#REF!</v>
      </c>
      <c r="D12" s="234" t="e">
        <f>'UBS E NASF Malta Cardoso 1° SEM'!C28+'AMA e UBS Vila Sonia 1° SEM'!C20+'UBS Real Parque 1° SEM'!#REF!+' AMA e UBS Sao Jorge 1° SEM'!C30</f>
        <v>#REF!</v>
      </c>
      <c r="E12" s="233" t="e">
        <f t="shared" si="0"/>
        <v>#REF!</v>
      </c>
      <c r="F12" s="234" t="e">
        <f>'UBS E NASF Malta Cardoso 1° SEM'!E28+'AMA e UBS Vila Sonia 1° SEM'!E20+'UBS Real Parque 1° SEM'!#REF!+' AMA e UBS Sao Jorge 1° SEM'!E30</f>
        <v>#REF!</v>
      </c>
      <c r="G12" s="235" t="e">
        <f t="shared" si="0"/>
        <v>#REF!</v>
      </c>
      <c r="H12" s="234" t="e">
        <f>'UBS E NASF Malta Cardoso 1° SEM'!G28+'AMA e UBS Vila Sonia 1° SEM'!G20+'UBS Real Parque 1° SEM'!#REF!+' AMA e UBS Sao Jorge 1° SEM'!G30</f>
        <v>#REF!</v>
      </c>
      <c r="I12" s="226" t="e">
        <f t="shared" si="0"/>
        <v>#REF!</v>
      </c>
      <c r="J12" s="236" t="e">
        <f t="shared" si="5"/>
        <v>#REF!</v>
      </c>
      <c r="K12" s="237" t="e">
        <f t="shared" si="6"/>
        <v>#REF!</v>
      </c>
      <c r="L12" s="234" t="e">
        <f>'UBS E NASF Malta Cardoso 1° SEM'!K28+'AMA e UBS Vila Sonia 1° SEM'!K20+'UBS Real Parque 1° SEM'!#REF!+' AMA e UBS Sao Jorge 1° SEM'!K30</f>
        <v>#REF!</v>
      </c>
      <c r="M12" s="235" t="e">
        <f t="shared" si="3"/>
        <v>#REF!</v>
      </c>
      <c r="N12" s="234" t="e">
        <f>'UBS E NASF Malta Cardoso 1° SEM'!M28+'AMA e UBS Vila Sonia 1° SEM'!M20+'UBS Real Parque 1° SEM'!#REF!+' AMA e UBS Sao Jorge 1° SEM'!M30</f>
        <v>#REF!</v>
      </c>
      <c r="O12" s="439" t="e">
        <f t="shared" si="4"/>
        <v>#REF!</v>
      </c>
      <c r="P12" s="234" t="e">
        <f>'UBS E NASF Malta Cardoso 1° SEM'!O28+'AMA e UBS Vila Sonia 1° SEM'!O20+'UBS Real Parque 1° SEM'!#REF!+' AMA e UBS Sao Jorge 1° SEM'!O30</f>
        <v>#REF!</v>
      </c>
      <c r="Q12" s="226" t="e">
        <f t="shared" si="3"/>
        <v>#REF!</v>
      </c>
      <c r="R12" s="236" t="e">
        <f t="shared" si="7"/>
        <v>#REF!</v>
      </c>
      <c r="S12" s="238" t="e">
        <f t="shared" si="8"/>
        <v>#REF!</v>
      </c>
    </row>
    <row r="13" spans="1:19" x14ac:dyDescent="0.25">
      <c r="A13" t="s">
        <v>258</v>
      </c>
      <c r="B13" s="197" t="s">
        <v>294</v>
      </c>
      <c r="C13" s="232" t="e">
        <f>'UBS Vila Dalva 1° SEM'!B27+'UBS Jardim Boa Vista 1° SEM'!#REF!+'UBS E NASF Malta Cardoso 1° SEM'!B30+'UBS Real Parque 1° SEM'!#REF!+'UBS Sao Remo 1° SEM'!B32+'AMA e UBS Vila Sonia 1° SEM'!B23+'AMA_ UBS e NASF Paulo VI 1° SEM'!B27+' AMA e UBS Sao Jorge 1° SEM'!B33</f>
        <v>#REF!</v>
      </c>
      <c r="D13" s="234" t="e">
        <f>'UBS Vila Dalva 1° SEM'!C27+'UBS Jardim Boa Vista 1° SEM'!#REF!+'UBS E NASF Malta Cardoso 1° SEM'!C30+'AMA e UBS Vila Sonia 1° SEM'!C23+'UBS Real Parque 1° SEM'!#REF!</f>
        <v>#REF!</v>
      </c>
      <c r="E13" s="233" t="e">
        <f t="shared" si="0"/>
        <v>#REF!</v>
      </c>
      <c r="F13" s="234" t="e">
        <f>'UBS Vila Dalva 1° SEM'!E27+'UBS Jardim Boa Vista 1° SEM'!#REF!+'UBS E NASF Malta Cardoso 1° SEM'!E30+'AMA e UBS Vila Sonia 1° SEM'!E23+'UBS Real Parque 1° SEM'!#REF!</f>
        <v>#REF!</v>
      </c>
      <c r="G13" s="235" t="e">
        <f t="shared" si="0"/>
        <v>#REF!</v>
      </c>
      <c r="H13" s="234" t="e">
        <f>'UBS Vila Dalva 1° SEM'!G27+'UBS Jardim Boa Vista 1° SEM'!#REF!+'UBS E NASF Malta Cardoso 1° SEM'!G30+'AMA e UBS Vila Sonia 1° SEM'!G23+'UBS Real Parque 1° SEM'!#REF!</f>
        <v>#REF!</v>
      </c>
      <c r="I13" s="226" t="e">
        <f t="shared" si="0"/>
        <v>#REF!</v>
      </c>
      <c r="J13" s="236" t="e">
        <f t="shared" si="5"/>
        <v>#REF!</v>
      </c>
      <c r="K13" s="237" t="e">
        <f t="shared" si="6"/>
        <v>#REF!</v>
      </c>
      <c r="L13" s="234" t="e">
        <f>'UBS Vila Dalva 1° SEM'!K27+'UBS Jardim Boa Vista 1° SEM'!#REF!+'UBS E NASF Malta Cardoso 1° SEM'!K30+'AMA e UBS Vila Sonia 1° SEM'!K23+'UBS Real Parque 1° SEM'!#REF!</f>
        <v>#REF!</v>
      </c>
      <c r="M13" s="235" t="e">
        <f t="shared" si="3"/>
        <v>#REF!</v>
      </c>
      <c r="N13" s="234" t="e">
        <f>'UBS Vila Dalva 1° SEM'!M27+'UBS Jardim Boa Vista 1° SEM'!#REF!+'UBS E NASF Malta Cardoso 1° SEM'!M30+'AMA e UBS Vila Sonia 1° SEM'!M23+'UBS Real Parque 1° SEM'!#REF!</f>
        <v>#REF!</v>
      </c>
      <c r="O13" s="439" t="e">
        <f t="shared" si="4"/>
        <v>#REF!</v>
      </c>
      <c r="P13" s="234" t="e">
        <f>'UBS Vila Dalva 1° SEM'!O27+'UBS Jardim Boa Vista 1° SEM'!#REF!+'UBS E NASF Malta Cardoso 1° SEM'!O30+'AMA e UBS Vila Sonia 1° SEM'!O23+'UBS Real Parque 1° SEM'!#REF!</f>
        <v>#REF!</v>
      </c>
      <c r="Q13" s="226" t="e">
        <f t="shared" si="3"/>
        <v>#REF!</v>
      </c>
      <c r="R13" s="236" t="e">
        <f t="shared" si="7"/>
        <v>#REF!</v>
      </c>
      <c r="S13" s="238" t="e">
        <f t="shared" si="8"/>
        <v>#REF!</v>
      </c>
    </row>
    <row r="14" spans="1:19" x14ac:dyDescent="0.25">
      <c r="A14" t="s">
        <v>258</v>
      </c>
      <c r="B14" s="197" t="s">
        <v>293</v>
      </c>
      <c r="C14" s="232" t="e">
        <f>'UBS Vila Dalva 1° SEM'!B28+'UBS Jardim Boa Vista 1° SEM'!#REF!+'UBS E NASF Malta Cardoso 1° SEM'!B31+'UBS Real Parque 1° SEM'!#REF!+'UBS Sao Remo 1° SEM'!B33+'AMA e UBS Vila Sonia 1° SEM'!B24+'AMA_ UBS e NASF Paulo VI 1° SEM'!B26+' AMA e UBS Sao Jorge 1° SEM'!B32</f>
        <v>#REF!</v>
      </c>
      <c r="D14" s="234">
        <v>0</v>
      </c>
      <c r="E14" s="233" t="e">
        <f t="shared" si="0"/>
        <v>#REF!</v>
      </c>
      <c r="F14" s="234">
        <v>0</v>
      </c>
      <c r="G14" s="235" t="e">
        <f t="shared" si="0"/>
        <v>#REF!</v>
      </c>
      <c r="H14" s="234">
        <v>0</v>
      </c>
      <c r="I14" s="226" t="e">
        <f t="shared" si="0"/>
        <v>#REF!</v>
      </c>
      <c r="J14" s="236">
        <f t="shared" si="5"/>
        <v>0</v>
      </c>
      <c r="K14" s="237" t="e">
        <f t="shared" si="6"/>
        <v>#REF!</v>
      </c>
      <c r="L14" s="234">
        <v>0</v>
      </c>
      <c r="M14" s="235" t="e">
        <f t="shared" si="3"/>
        <v>#REF!</v>
      </c>
      <c r="N14" s="234">
        <v>0</v>
      </c>
      <c r="O14" s="439" t="e">
        <f t="shared" si="4"/>
        <v>#REF!</v>
      </c>
      <c r="P14" s="234">
        <v>0</v>
      </c>
      <c r="Q14" s="226" t="e">
        <f t="shared" si="3"/>
        <v>#REF!</v>
      </c>
      <c r="R14" s="236">
        <f t="shared" si="7"/>
        <v>0</v>
      </c>
      <c r="S14" s="238" t="e">
        <f t="shared" si="8"/>
        <v>#REF!</v>
      </c>
    </row>
    <row r="15" spans="1:19" x14ac:dyDescent="0.25">
      <c r="A15" t="s">
        <v>258</v>
      </c>
      <c r="B15" s="197" t="s">
        <v>292</v>
      </c>
      <c r="C15" s="232">
        <f>'UBS Vila Dalva 1° SEM'!B29+'UBS Sao Remo 1° SEM'!B34+'AMA e UBS Vila Sonia 1° SEM'!B25</f>
        <v>4</v>
      </c>
      <c r="D15" s="234">
        <f>'UBS Vila Dalva 1° SEM'!C29+'AMA e UBS Vila Sonia 1° SEM'!C25</f>
        <v>2</v>
      </c>
      <c r="E15" s="233">
        <f t="shared" si="0"/>
        <v>-2</v>
      </c>
      <c r="F15" s="234">
        <f>'UBS Vila Dalva 1° SEM'!E29+'AMA e UBS Vila Sonia 1° SEM'!E25</f>
        <v>2</v>
      </c>
      <c r="G15" s="235">
        <f t="shared" si="0"/>
        <v>4</v>
      </c>
      <c r="H15" s="234">
        <f>'UBS Vila Dalva 1° SEM'!G29+'AMA e UBS Vila Sonia 1° SEM'!G25</f>
        <v>2</v>
      </c>
      <c r="I15" s="226">
        <f t="shared" si="0"/>
        <v>-2</v>
      </c>
      <c r="J15" s="236">
        <f t="shared" si="5"/>
        <v>6</v>
      </c>
      <c r="K15" s="237">
        <f t="shared" si="6"/>
        <v>-6</v>
      </c>
      <c r="L15" s="234">
        <f>'UBS Vila Dalva 1° SEM'!K29+'AMA e UBS Vila Sonia 1° SEM'!K25</f>
        <v>2</v>
      </c>
      <c r="M15" s="235">
        <f t="shared" si="3"/>
        <v>-2</v>
      </c>
      <c r="N15" s="234">
        <f>'UBS Vila Dalva 1° SEM'!M29+'AMA e UBS Vila Sonia 1° SEM'!M25</f>
        <v>2</v>
      </c>
      <c r="O15" s="439">
        <f t="shared" si="4"/>
        <v>-2</v>
      </c>
      <c r="P15" s="234">
        <f>'UBS Vila Dalva 1° SEM'!O29+'AMA e UBS Vila Sonia 1° SEM'!O25</f>
        <v>2</v>
      </c>
      <c r="Q15" s="226">
        <f t="shared" si="3"/>
        <v>-2</v>
      </c>
      <c r="R15" s="236">
        <f t="shared" si="7"/>
        <v>6</v>
      </c>
      <c r="S15" s="238">
        <f t="shared" si="8"/>
        <v>-6</v>
      </c>
    </row>
    <row r="16" spans="1:19" ht="15.75" thickBot="1" x14ac:dyDescent="0.3">
      <c r="A16" t="s">
        <v>258</v>
      </c>
      <c r="B16" s="198" t="s">
        <v>291</v>
      </c>
      <c r="C16" s="239" t="e">
        <f>'UBS Jardim Boa Vista 1° SEM'!#REF!+'UBS Real Parque 1° SEM'!#REF!+'UBS Sao Remo 1° SEM'!B35+'AMA e UBS Vila Sonia 1° SEM'!B27+'AMA_ UBS e NASF Paulo VI 1° SEM'!B37</f>
        <v>#REF!</v>
      </c>
      <c r="D16" s="241">
        <v>0</v>
      </c>
      <c r="E16" s="240" t="e">
        <f t="shared" si="0"/>
        <v>#REF!</v>
      </c>
      <c r="F16" s="241">
        <v>0</v>
      </c>
      <c r="G16" s="242" t="e">
        <f t="shared" si="0"/>
        <v>#REF!</v>
      </c>
      <c r="H16" s="241">
        <v>0</v>
      </c>
      <c r="I16" s="242" t="e">
        <f t="shared" si="0"/>
        <v>#REF!</v>
      </c>
      <c r="J16" s="243">
        <f t="shared" si="5"/>
        <v>0</v>
      </c>
      <c r="K16" s="244" t="e">
        <f t="shared" si="6"/>
        <v>#REF!</v>
      </c>
      <c r="L16" s="241">
        <v>0</v>
      </c>
      <c r="M16" s="242" t="e">
        <f t="shared" si="3"/>
        <v>#REF!</v>
      </c>
      <c r="N16" s="241">
        <v>0</v>
      </c>
      <c r="O16" s="440" t="e">
        <f t="shared" si="4"/>
        <v>#REF!</v>
      </c>
      <c r="P16" s="241">
        <v>0</v>
      </c>
      <c r="Q16" s="242" t="e">
        <f t="shared" si="3"/>
        <v>#REF!</v>
      </c>
      <c r="R16" s="243">
        <f t="shared" si="7"/>
        <v>0</v>
      </c>
      <c r="S16" s="245" t="e">
        <f t="shared" si="8"/>
        <v>#REF!</v>
      </c>
    </row>
    <row r="17" spans="1:19" ht="15.75" thickBot="1" x14ac:dyDescent="0.3">
      <c r="B17" s="436" t="s">
        <v>121</v>
      </c>
      <c r="C17" s="246" t="e">
        <f>SUM(C4:C16)</f>
        <v>#REF!</v>
      </c>
      <c r="D17" s="246" t="e">
        <f>SUM(D4:D16)</f>
        <v>#REF!</v>
      </c>
      <c r="E17" s="247" t="e">
        <f t="shared" si="0"/>
        <v>#REF!</v>
      </c>
      <c r="F17" s="246" t="e">
        <f>SUM(F4:F16)</f>
        <v>#REF!</v>
      </c>
      <c r="G17" s="249" t="e">
        <f>SUM(G7:G16)</f>
        <v>#REF!</v>
      </c>
      <c r="H17" s="248" t="e">
        <f>SUM(H4:H16)</f>
        <v>#REF!</v>
      </c>
      <c r="I17" s="249" t="e">
        <f>SUM(I4:I16)</f>
        <v>#REF!</v>
      </c>
      <c r="J17" s="250" t="e">
        <f>SUM(J4:J16)</f>
        <v>#REF!</v>
      </c>
      <c r="K17" s="251" t="e">
        <f>SUM(K7:K16)</f>
        <v>#REF!</v>
      </c>
      <c r="L17" s="248" t="e">
        <f t="shared" ref="L17:R17" si="9">SUM(L4:L16)</f>
        <v>#REF!</v>
      </c>
      <c r="M17" s="249" t="e">
        <f t="shared" si="9"/>
        <v>#REF!</v>
      </c>
      <c r="N17" s="248" t="e">
        <f t="shared" si="9"/>
        <v>#REF!</v>
      </c>
      <c r="O17" s="441" t="e">
        <f t="shared" si="9"/>
        <v>#REF!</v>
      </c>
      <c r="P17" s="248" t="e">
        <f t="shared" si="9"/>
        <v>#REF!</v>
      </c>
      <c r="Q17" s="249" t="e">
        <f t="shared" si="9"/>
        <v>#REF!</v>
      </c>
      <c r="R17" s="250" t="e">
        <f t="shared" si="9"/>
        <v>#REF!</v>
      </c>
      <c r="S17" s="252" t="e">
        <f t="shared" si="8"/>
        <v>#REF!</v>
      </c>
    </row>
    <row r="18" spans="1:19" ht="15.75" thickTop="1" x14ac:dyDescent="0.25">
      <c r="A18" t="s">
        <v>114</v>
      </c>
      <c r="B18" s="39" t="s">
        <v>304</v>
      </c>
      <c r="C18" s="223">
        <f>'UBS E NASF Malta Cardoso 1° SEM'!B30</f>
        <v>2</v>
      </c>
      <c r="D18" s="225"/>
      <c r="E18" s="224">
        <f t="shared" si="0"/>
        <v>-2</v>
      </c>
      <c r="F18" s="225"/>
      <c r="G18" s="226"/>
      <c r="H18" s="225"/>
      <c r="I18" s="226"/>
      <c r="J18" s="227"/>
      <c r="K18" s="228"/>
      <c r="L18" s="225"/>
      <c r="M18" s="229"/>
      <c r="N18" s="230"/>
      <c r="O18" s="226"/>
      <c r="P18" s="225"/>
      <c r="Q18" s="226"/>
      <c r="R18" s="227"/>
      <c r="S18" s="231"/>
    </row>
    <row r="19" spans="1:19" x14ac:dyDescent="0.25">
      <c r="A19" t="s">
        <v>114</v>
      </c>
      <c r="B19" s="199" t="s">
        <v>305</v>
      </c>
      <c r="C19" s="232">
        <f>'AMA_ UBS e NASF Paulo VI 1° SEM'!B32</f>
        <v>2</v>
      </c>
      <c r="D19" s="234"/>
      <c r="E19" s="233">
        <f t="shared" ref="E19:E47" si="10">D19-C19</f>
        <v>-2</v>
      </c>
      <c r="F19" s="234"/>
      <c r="G19" s="235"/>
      <c r="H19" s="234"/>
      <c r="I19" s="226"/>
      <c r="J19" s="236"/>
      <c r="K19" s="237"/>
      <c r="L19" s="234"/>
      <c r="M19" s="235"/>
      <c r="N19" s="234"/>
      <c r="O19" s="235"/>
      <c r="P19" s="234"/>
      <c r="Q19" s="226"/>
      <c r="R19" s="236"/>
      <c r="S19" s="238"/>
    </row>
    <row r="20" spans="1:19" x14ac:dyDescent="0.25">
      <c r="A20" t="s">
        <v>114</v>
      </c>
      <c r="B20" s="199" t="s">
        <v>306</v>
      </c>
      <c r="C20" s="232">
        <f>'AMA_ UBS e NASF Paulo VI 1° SEM'!B36</f>
        <v>1</v>
      </c>
      <c r="D20" s="234"/>
      <c r="E20" s="233">
        <f t="shared" si="10"/>
        <v>-1</v>
      </c>
      <c r="F20" s="234"/>
      <c r="G20" s="235"/>
      <c r="H20" s="234"/>
      <c r="I20" s="226"/>
      <c r="J20" s="236"/>
      <c r="K20" s="237"/>
      <c r="L20" s="234"/>
      <c r="M20" s="235"/>
      <c r="N20" s="234"/>
      <c r="O20" s="235"/>
      <c r="P20" s="234"/>
      <c r="Q20" s="226"/>
      <c r="R20" s="236"/>
      <c r="S20" s="238"/>
    </row>
    <row r="21" spans="1:19" x14ac:dyDescent="0.25">
      <c r="A21" t="s">
        <v>114</v>
      </c>
      <c r="B21" s="199" t="s">
        <v>307</v>
      </c>
      <c r="C21" s="232">
        <f>'UBS e NASF Jd D Abril 1° SEM'!B33+'UBS E NASF Malta Cardoso 1° SEM'!B41</f>
        <v>2</v>
      </c>
      <c r="D21" s="234"/>
      <c r="E21" s="233">
        <f t="shared" si="10"/>
        <v>-2</v>
      </c>
      <c r="F21" s="234"/>
      <c r="G21" s="235"/>
      <c r="H21" s="234"/>
      <c r="I21" s="226"/>
      <c r="J21" s="236"/>
      <c r="K21" s="237"/>
      <c r="L21" s="234"/>
      <c r="M21" s="235"/>
      <c r="N21" s="234"/>
      <c r="O21" s="235"/>
      <c r="P21" s="234"/>
      <c r="Q21" s="226"/>
      <c r="R21" s="236"/>
      <c r="S21" s="238"/>
    </row>
    <row r="22" spans="1:19" x14ac:dyDescent="0.25">
      <c r="A22" t="s">
        <v>114</v>
      </c>
      <c r="B22" s="199" t="s">
        <v>308</v>
      </c>
      <c r="C22" s="232">
        <f>'UBS e NASF Jd D Abril 1° SEM'!B34+'UBS E NASF Malta Cardoso 1° SEM'!B42+'AMA_ UBS e NASF Paulo VI 1° SEM'!B37</f>
        <v>4</v>
      </c>
      <c r="D22" s="234"/>
      <c r="E22" s="233">
        <f t="shared" si="10"/>
        <v>-4</v>
      </c>
      <c r="F22" s="234"/>
      <c r="G22" s="235"/>
      <c r="H22" s="234"/>
      <c r="I22" s="226"/>
      <c r="J22" s="236"/>
      <c r="K22" s="237"/>
      <c r="L22" s="234"/>
      <c r="M22" s="235"/>
      <c r="N22" s="234"/>
      <c r="O22" s="235"/>
      <c r="P22" s="234"/>
      <c r="Q22" s="226"/>
      <c r="R22" s="236"/>
      <c r="S22" s="238"/>
    </row>
    <row r="23" spans="1:19" x14ac:dyDescent="0.25">
      <c r="A23" t="s">
        <v>114</v>
      </c>
      <c r="B23" s="199" t="s">
        <v>309</v>
      </c>
      <c r="C23" s="232">
        <f>'UBS e NASF Jd D Abril 1° SEM'!B35+'UBS E NASF Malta Cardoso 1° SEM'!B43+'AMA_ UBS e NASF Paulo VI 1° SEM'!B38</f>
        <v>4</v>
      </c>
      <c r="D23" s="234"/>
      <c r="E23" s="233">
        <f t="shared" si="10"/>
        <v>-4</v>
      </c>
      <c r="F23" s="234"/>
      <c r="G23" s="235"/>
      <c r="H23" s="234"/>
      <c r="I23" s="226"/>
      <c r="J23" s="236"/>
      <c r="K23" s="237"/>
      <c r="L23" s="234"/>
      <c r="M23" s="235"/>
      <c r="N23" s="234"/>
      <c r="O23" s="235"/>
      <c r="P23" s="234"/>
      <c r="Q23" s="226"/>
      <c r="R23" s="236"/>
      <c r="S23" s="238"/>
    </row>
    <row r="24" spans="1:19" ht="15.75" thickBot="1" x14ac:dyDescent="0.3">
      <c r="A24" t="s">
        <v>114</v>
      </c>
      <c r="B24" s="200" t="s">
        <v>310</v>
      </c>
      <c r="C24" s="239">
        <f>'UBS E NASF Malta Cardoso 1° SEM'!B38+'AMA_ UBS e NASF Paulo VI 1° SEM'!B33</f>
        <v>2</v>
      </c>
      <c r="D24" s="241"/>
      <c r="E24" s="240">
        <f t="shared" si="10"/>
        <v>-2</v>
      </c>
      <c r="F24" s="241"/>
      <c r="G24" s="242"/>
      <c r="H24" s="241"/>
      <c r="I24" s="242"/>
      <c r="J24" s="243"/>
      <c r="K24" s="244"/>
      <c r="L24" s="241"/>
      <c r="M24" s="235"/>
      <c r="N24" s="241"/>
      <c r="O24" s="242"/>
      <c r="P24" s="241"/>
      <c r="Q24" s="242"/>
      <c r="R24" s="243"/>
      <c r="S24" s="245"/>
    </row>
    <row r="25" spans="1:19" ht="15.75" thickBot="1" x14ac:dyDescent="0.3">
      <c r="B25" s="436" t="s">
        <v>120</v>
      </c>
      <c r="C25" s="246">
        <f>SUM(C18:C24)</f>
        <v>17</v>
      </c>
      <c r="D25" s="248"/>
      <c r="E25" s="247">
        <f t="shared" si="10"/>
        <v>-17</v>
      </c>
      <c r="F25" s="248"/>
      <c r="G25" s="249"/>
      <c r="H25" s="248"/>
      <c r="I25" s="249"/>
      <c r="J25" s="250"/>
      <c r="K25" s="251"/>
      <c r="L25" s="248"/>
      <c r="M25" s="253"/>
      <c r="N25" s="248"/>
      <c r="O25" s="249"/>
      <c r="P25" s="248"/>
      <c r="Q25" s="249"/>
      <c r="R25" s="250"/>
      <c r="S25" s="252"/>
    </row>
    <row r="26" spans="1:19" ht="15.75" thickTop="1" x14ac:dyDescent="0.25">
      <c r="A26" t="s">
        <v>115</v>
      </c>
      <c r="B26" s="39" t="s">
        <v>299</v>
      </c>
      <c r="C26" s="223" t="e">
        <f>'UBS Jardim Boa Vista 1° SEM'!#REF!+'UBS E NASF Malta Cardoso 1° SEM'!B26+'UBS Real Parque 1° SEM'!#REF!</f>
        <v>#REF!</v>
      </c>
      <c r="D26" s="230"/>
      <c r="E26" s="254" t="e">
        <f t="shared" si="10"/>
        <v>#REF!</v>
      </c>
      <c r="F26" s="230"/>
      <c r="G26" s="229"/>
      <c r="H26" s="230"/>
      <c r="I26" s="229"/>
      <c r="J26" s="227"/>
      <c r="K26" s="228"/>
      <c r="L26" s="230"/>
      <c r="M26" s="229"/>
      <c r="N26" s="230"/>
      <c r="O26" s="229"/>
      <c r="P26" s="230"/>
      <c r="Q26" s="229"/>
      <c r="R26" s="227"/>
      <c r="S26" s="231"/>
    </row>
    <row r="27" spans="1:19" x14ac:dyDescent="0.25">
      <c r="A27" t="s">
        <v>115</v>
      </c>
      <c r="B27" s="199" t="s">
        <v>298</v>
      </c>
      <c r="C27" s="232" t="e">
        <f>'UBS Vila Dalva 1° SEM'!B24+'UBS E NASF Malta Cardoso 1° SEM'!B27+'UBS Real Parque 1° SEM'!#REF!+'UBS Sao Remo 1° SEM'!B26+'AMA e UBS Vila Sonia 1° SEM'!B19</f>
        <v>#REF!</v>
      </c>
      <c r="D27" s="234"/>
      <c r="E27" s="233" t="e">
        <f t="shared" si="10"/>
        <v>#REF!</v>
      </c>
      <c r="F27" s="234"/>
      <c r="G27" s="235"/>
      <c r="H27" s="234"/>
      <c r="I27" s="229"/>
      <c r="J27" s="236"/>
      <c r="K27" s="237"/>
      <c r="L27" s="234"/>
      <c r="M27" s="235"/>
      <c r="N27" s="234"/>
      <c r="O27" s="235"/>
      <c r="P27" s="234"/>
      <c r="Q27" s="229"/>
      <c r="R27" s="236"/>
      <c r="S27" s="238"/>
    </row>
    <row r="28" spans="1:19" x14ac:dyDescent="0.25">
      <c r="A28" t="s">
        <v>115</v>
      </c>
      <c r="B28" s="199" t="s">
        <v>311</v>
      </c>
      <c r="C28" s="232" t="e">
        <f>'UBS Vila Dalva 1° SEM'!B25+'UBS Jardim Boa Vista 1° SEM'!#REF!+'UBS E NASF Malta Cardoso 1° SEM'!B29+'AMA e UBS Vila Sonia 1° SEM'!B21+'AMA_ UBS e NASF Paulo VI 1° SEM'!B35+'UBS Real Parque 1° SEM'!#REF!+' AMA e UBS Sao Jorge 1° SEM'!B29</f>
        <v>#REF!</v>
      </c>
      <c r="D28" s="234"/>
      <c r="E28" s="233" t="e">
        <f t="shared" si="10"/>
        <v>#REF!</v>
      </c>
      <c r="F28" s="234"/>
      <c r="G28" s="235"/>
      <c r="H28" s="234"/>
      <c r="I28" s="229"/>
      <c r="J28" s="236"/>
      <c r="K28" s="237"/>
      <c r="L28" s="234"/>
      <c r="M28" s="235"/>
      <c r="N28" s="234"/>
      <c r="O28" s="235"/>
      <c r="P28" s="234"/>
      <c r="Q28" s="229"/>
      <c r="R28" s="236"/>
      <c r="S28" s="238"/>
    </row>
    <row r="29" spans="1:19" x14ac:dyDescent="0.25">
      <c r="A29" t="s">
        <v>115</v>
      </c>
      <c r="B29" s="199" t="s">
        <v>296</v>
      </c>
      <c r="C29" s="232" t="e">
        <f>'UBS Vila Dalva 1° SEM'!B26+'UBS Jardim Boa Vista 1° SEM'!#REF!+'UBS E NASF Malta Cardoso 1° SEM'!B39+'UBS Real Parque 1° SEM'!#REF!+'UBS Sao Remo 1° SEM'!B29+'AMA e UBS Vila Sonia 1° SEM'!B22+'AMA_ UBS e NASF Paulo VI 1° SEM'!B36+' AMA e UBS Sao Jorge 1° SEM'!B31</f>
        <v>#REF!</v>
      </c>
      <c r="D29" s="234"/>
      <c r="E29" s="233" t="e">
        <f t="shared" si="10"/>
        <v>#REF!</v>
      </c>
      <c r="F29" s="234"/>
      <c r="G29" s="235"/>
      <c r="H29" s="234"/>
      <c r="I29" s="229"/>
      <c r="J29" s="236"/>
      <c r="K29" s="237"/>
      <c r="L29" s="234"/>
      <c r="M29" s="235"/>
      <c r="N29" s="234"/>
      <c r="O29" s="235"/>
      <c r="P29" s="234"/>
      <c r="Q29" s="229"/>
      <c r="R29" s="236"/>
      <c r="S29" s="238"/>
    </row>
    <row r="30" spans="1:19" x14ac:dyDescent="0.25">
      <c r="A30" t="s">
        <v>115</v>
      </c>
      <c r="B30" s="199" t="s">
        <v>295</v>
      </c>
      <c r="C30" s="232" t="e">
        <f>'UBS E NASF Malta Cardoso 1° SEM'!B28+'UBS Real Parque 1° SEM'!#REF!+'UBS Sao Remo 1° SEM'!B27+'AMA e UBS Vila Sonia 1° SEM'!B20+'AMA_ UBS e NASF Paulo VI 1° SEM'!B24+' AMA e UBS Sao Jorge 1° SEM'!B30</f>
        <v>#REF!</v>
      </c>
      <c r="D30" s="234"/>
      <c r="E30" s="233" t="e">
        <f t="shared" si="10"/>
        <v>#REF!</v>
      </c>
      <c r="F30" s="234"/>
      <c r="G30" s="235"/>
      <c r="H30" s="234"/>
      <c r="I30" s="229"/>
      <c r="J30" s="236"/>
      <c r="K30" s="237"/>
      <c r="L30" s="234"/>
      <c r="M30" s="235"/>
      <c r="N30" s="234"/>
      <c r="O30" s="235"/>
      <c r="P30" s="234"/>
      <c r="Q30" s="229"/>
      <c r="R30" s="236"/>
      <c r="S30" s="238"/>
    </row>
    <row r="31" spans="1:19" x14ac:dyDescent="0.25">
      <c r="A31" t="s">
        <v>115</v>
      </c>
      <c r="B31" s="199" t="s">
        <v>294</v>
      </c>
      <c r="C31" s="232" t="e">
        <f>'UBS Vila Dalva 1° SEM'!B27+'UBS Jardim Boa Vista 1° SEM'!#REF!+'UBS Real Parque 1° SEM'!#REF!+'UBS Sao Remo 1° SEM'!B32+'AMA e UBS Vila Sonia 1° SEM'!B23+'AMA_ UBS e NASF Paulo VI 1° SEM'!B27+' AMA e UBS Sao Jorge 1° SEM'!B33</f>
        <v>#REF!</v>
      </c>
      <c r="D31" s="234"/>
      <c r="E31" s="233" t="e">
        <f t="shared" si="10"/>
        <v>#REF!</v>
      </c>
      <c r="F31" s="234"/>
      <c r="G31" s="235"/>
      <c r="H31" s="234"/>
      <c r="I31" s="229"/>
      <c r="J31" s="236"/>
      <c r="K31" s="237"/>
      <c r="L31" s="234"/>
      <c r="M31" s="235"/>
      <c r="N31" s="234"/>
      <c r="O31" s="235"/>
      <c r="P31" s="234"/>
      <c r="Q31" s="229"/>
      <c r="R31" s="236"/>
      <c r="S31" s="238"/>
    </row>
    <row r="32" spans="1:19" x14ac:dyDescent="0.25">
      <c r="A32" t="s">
        <v>115</v>
      </c>
      <c r="B32" s="199" t="s">
        <v>293</v>
      </c>
      <c r="C32" s="232">
        <f>'AMA e UBS Vila Sonia 1° SEM'!B24</f>
        <v>7</v>
      </c>
      <c r="D32" s="234"/>
      <c r="E32" s="233">
        <f t="shared" si="10"/>
        <v>-7</v>
      </c>
      <c r="F32" s="234"/>
      <c r="G32" s="235"/>
      <c r="H32" s="234"/>
      <c r="I32" s="229"/>
      <c r="J32" s="236"/>
      <c r="K32" s="237"/>
      <c r="L32" s="234"/>
      <c r="M32" s="235"/>
      <c r="N32" s="234"/>
      <c r="O32" s="235"/>
      <c r="P32" s="234"/>
      <c r="Q32" s="229"/>
      <c r="R32" s="236"/>
      <c r="S32" s="238"/>
    </row>
    <row r="33" spans="1:19" x14ac:dyDescent="0.25">
      <c r="A33" t="s">
        <v>115</v>
      </c>
      <c r="B33" s="199" t="s">
        <v>292</v>
      </c>
      <c r="C33" s="232">
        <f>'UBS Vila Dalva 1° SEM'!B29+'UBS Sao Remo 1° SEM'!B34+'AMA e UBS Vila Sonia 1° SEM'!B25</f>
        <v>4</v>
      </c>
      <c r="D33" s="234"/>
      <c r="E33" s="233">
        <f t="shared" si="10"/>
        <v>-4</v>
      </c>
      <c r="F33" s="234"/>
      <c r="G33" s="235"/>
      <c r="H33" s="234"/>
      <c r="I33" s="229"/>
      <c r="J33" s="236"/>
      <c r="K33" s="237"/>
      <c r="L33" s="234"/>
      <c r="M33" s="235"/>
      <c r="N33" s="234"/>
      <c r="O33" s="235"/>
      <c r="P33" s="234"/>
      <c r="Q33" s="229"/>
      <c r="R33" s="236"/>
      <c r="S33" s="238"/>
    </row>
    <row r="34" spans="1:19" x14ac:dyDescent="0.25">
      <c r="A34" t="s">
        <v>115</v>
      </c>
      <c r="B34" s="199" t="s">
        <v>291</v>
      </c>
      <c r="C34" s="232" t="e">
        <f>'UBS Jardim Boa Vista 1° SEM'!#REF!+'UBS E NASF Malta Cardoso 1° SEM'!B42+'UBS Real Parque 1° SEM'!#REF!+'UBS Sao Remo 1° SEM'!B35+'AMA e UBS Vila Sonia 1° SEM'!B27+'AMA_ UBS e NASF Paulo VI 1° SEM'!B37</f>
        <v>#REF!</v>
      </c>
      <c r="D34" s="234"/>
      <c r="E34" s="233" t="e">
        <f>D34-C34</f>
        <v>#REF!</v>
      </c>
      <c r="F34" s="234"/>
      <c r="G34" s="235"/>
      <c r="H34" s="234"/>
      <c r="I34" s="229"/>
      <c r="J34" s="236"/>
      <c r="K34" s="237"/>
      <c r="L34" s="234"/>
      <c r="M34" s="235"/>
      <c r="N34" s="234"/>
      <c r="O34" s="235"/>
      <c r="P34" s="234"/>
      <c r="Q34" s="229"/>
      <c r="R34" s="236"/>
      <c r="S34" s="238"/>
    </row>
    <row r="35" spans="1:19" x14ac:dyDescent="0.25">
      <c r="A35" t="s">
        <v>115</v>
      </c>
      <c r="B35" s="199" t="s">
        <v>290</v>
      </c>
      <c r="C35" s="232">
        <f>'UBS E NASF Malta Cardoso 1° SEM'!B38+'AMA e UBS Vila Sonia 1° SEM'!B26+'AMA_ UBS e NASF Paulo VI 1° SEM'!B33</f>
        <v>3</v>
      </c>
      <c r="D35" s="234"/>
      <c r="E35" s="233">
        <f t="shared" si="10"/>
        <v>-3</v>
      </c>
      <c r="F35" s="234"/>
      <c r="G35" s="235"/>
      <c r="H35" s="234"/>
      <c r="I35" s="229"/>
      <c r="J35" s="236"/>
      <c r="K35" s="237"/>
      <c r="L35" s="234"/>
      <c r="M35" s="235"/>
      <c r="N35" s="234"/>
      <c r="O35" s="235"/>
      <c r="P35" s="234"/>
      <c r="Q35" s="229"/>
      <c r="R35" s="236"/>
      <c r="S35" s="238"/>
    </row>
    <row r="36" spans="1:19" x14ac:dyDescent="0.25">
      <c r="A36" t="s">
        <v>115</v>
      </c>
      <c r="B36" s="199" t="s">
        <v>289</v>
      </c>
      <c r="C36" s="232">
        <f>'UBS E NASF Malta Cardoso 1° SEM'!B41+'UBS E NASF Malta Cardoso 1° SEM'!B41</f>
        <v>2</v>
      </c>
      <c r="D36" s="234"/>
      <c r="E36" s="233">
        <f t="shared" si="10"/>
        <v>-2</v>
      </c>
      <c r="F36" s="234"/>
      <c r="G36" s="235"/>
      <c r="H36" s="234"/>
      <c r="I36" s="229"/>
      <c r="J36" s="236"/>
      <c r="K36" s="237"/>
      <c r="L36" s="234"/>
      <c r="M36" s="235"/>
      <c r="N36" s="234"/>
      <c r="O36" s="235"/>
      <c r="P36" s="234"/>
      <c r="Q36" s="229"/>
      <c r="R36" s="236"/>
      <c r="S36" s="238"/>
    </row>
    <row r="37" spans="1:19" ht="15.75" thickBot="1" x14ac:dyDescent="0.3">
      <c r="A37" t="s">
        <v>115</v>
      </c>
      <c r="B37" s="200" t="s">
        <v>288</v>
      </c>
      <c r="C37" s="239" t="e">
        <f>'UBS Jardim Boa Vista 1° SEM'!#REF!</f>
        <v>#REF!</v>
      </c>
      <c r="D37" s="241"/>
      <c r="E37" s="240" t="e">
        <f t="shared" si="10"/>
        <v>#REF!</v>
      </c>
      <c r="F37" s="241"/>
      <c r="G37" s="242"/>
      <c r="H37" s="241"/>
      <c r="I37" s="242"/>
      <c r="J37" s="243"/>
      <c r="K37" s="244"/>
      <c r="L37" s="241"/>
      <c r="M37" s="242"/>
      <c r="N37" s="241"/>
      <c r="O37" s="242"/>
      <c r="P37" s="241"/>
      <c r="Q37" s="242"/>
      <c r="R37" s="243"/>
      <c r="S37" s="245"/>
    </row>
    <row r="38" spans="1:19" ht="15.75" thickBot="1" x14ac:dyDescent="0.3">
      <c r="B38" s="436" t="s">
        <v>119</v>
      </c>
      <c r="C38" s="246" t="e">
        <f>SUM(C26:C37)</f>
        <v>#REF!</v>
      </c>
      <c r="D38" s="248"/>
      <c r="E38" s="247" t="e">
        <f t="shared" si="10"/>
        <v>#REF!</v>
      </c>
      <c r="F38" s="248"/>
      <c r="G38" s="249"/>
      <c r="H38" s="248"/>
      <c r="I38" s="249"/>
      <c r="J38" s="250"/>
      <c r="K38" s="251"/>
      <c r="L38" s="248"/>
      <c r="M38" s="249"/>
      <c r="N38" s="248"/>
      <c r="O38" s="249"/>
      <c r="P38" s="248"/>
      <c r="Q38" s="249"/>
      <c r="R38" s="250"/>
      <c r="S38" s="252"/>
    </row>
    <row r="39" spans="1:19" ht="15.75" thickTop="1" x14ac:dyDescent="0.25">
      <c r="A39" t="s">
        <v>110</v>
      </c>
      <c r="B39" s="39" t="s">
        <v>287</v>
      </c>
      <c r="C39" s="223">
        <f>'AMA e UBS Vila Sonia 1° SEM'!B39+'AMA_ UBS e NASF Paulo VI 1° SEM'!B43+' AMA e UBS Sao Jorge 1° SEM'!B39</f>
        <v>43</v>
      </c>
      <c r="D39" s="230"/>
      <c r="E39" s="254">
        <f t="shared" si="10"/>
        <v>-43</v>
      </c>
      <c r="F39" s="230"/>
      <c r="G39" s="229"/>
      <c r="H39" s="230"/>
      <c r="I39" s="229"/>
      <c r="J39" s="227"/>
      <c r="K39" s="228"/>
      <c r="L39" s="230"/>
      <c r="M39" s="229"/>
      <c r="N39" s="230"/>
      <c r="O39" s="229"/>
      <c r="P39" s="230"/>
      <c r="Q39" s="229"/>
      <c r="R39" s="227"/>
      <c r="S39" s="231"/>
    </row>
    <row r="40" spans="1:19" ht="15.75" thickBot="1" x14ac:dyDescent="0.3">
      <c r="A40" t="s">
        <v>110</v>
      </c>
      <c r="B40" s="200" t="s">
        <v>262</v>
      </c>
      <c r="C40" s="442">
        <f>'AMA e UBS Vila Sonia 1° SEM'!B40+'AMA_ UBS e NASF Paulo VI 1° SEM'!B44+' AMA e UBS Sao Jorge 1° SEM'!B40</f>
        <v>36</v>
      </c>
      <c r="D40" s="241"/>
      <c r="E40" s="240">
        <f t="shared" si="10"/>
        <v>-36</v>
      </c>
      <c r="F40" s="241"/>
      <c r="G40" s="242"/>
      <c r="H40" s="241"/>
      <c r="I40" s="242"/>
      <c r="J40" s="243"/>
      <c r="K40" s="244"/>
      <c r="L40" s="241"/>
      <c r="M40" s="242"/>
      <c r="N40" s="241"/>
      <c r="O40" s="242"/>
      <c r="P40" s="241"/>
      <c r="Q40" s="242"/>
      <c r="R40" s="243"/>
      <c r="S40" s="245"/>
    </row>
    <row r="41" spans="1:19" ht="15.75" thickBot="1" x14ac:dyDescent="0.3">
      <c r="B41" s="437" t="s">
        <v>122</v>
      </c>
      <c r="C41" s="255">
        <f>SUM(C39:C40)</f>
        <v>79</v>
      </c>
      <c r="D41" s="257"/>
      <c r="E41" s="256">
        <f t="shared" si="10"/>
        <v>-79</v>
      </c>
      <c r="F41" s="257"/>
      <c r="G41" s="253"/>
      <c r="H41" s="257"/>
      <c r="I41" s="253"/>
      <c r="J41" s="258"/>
      <c r="K41" s="259"/>
      <c r="L41" s="257"/>
      <c r="M41" s="253"/>
      <c r="N41" s="257"/>
      <c r="O41" s="253"/>
      <c r="P41" s="257"/>
      <c r="Q41" s="253"/>
      <c r="R41" s="258"/>
      <c r="S41" s="260"/>
    </row>
    <row r="42" spans="1:19" ht="15.75" thickTop="1" x14ac:dyDescent="0.25">
      <c r="A42" t="s">
        <v>113</v>
      </c>
      <c r="B42" s="212" t="s">
        <v>286</v>
      </c>
      <c r="C42" s="223">
        <f>'PS BAND 1° SEM'!B15</f>
        <v>35</v>
      </c>
      <c r="D42" s="230"/>
      <c r="E42" s="254">
        <f t="shared" si="10"/>
        <v>-35</v>
      </c>
      <c r="F42" s="230"/>
      <c r="G42" s="229"/>
      <c r="H42" s="230"/>
      <c r="I42" s="229"/>
      <c r="J42" s="227"/>
      <c r="K42" s="228"/>
      <c r="L42" s="230"/>
      <c r="M42" s="229"/>
      <c r="N42" s="230"/>
      <c r="O42" s="229"/>
      <c r="P42" s="230"/>
      <c r="Q42" s="229"/>
      <c r="R42" s="227"/>
      <c r="S42" s="231"/>
    </row>
    <row r="43" spans="1:19" x14ac:dyDescent="0.25">
      <c r="A43" t="s">
        <v>113</v>
      </c>
      <c r="B43" s="212" t="s">
        <v>134</v>
      </c>
      <c r="C43" s="232">
        <f>'PS BAND 1° SEM'!B16</f>
        <v>1</v>
      </c>
      <c r="D43" s="234"/>
      <c r="E43" s="233">
        <f t="shared" si="10"/>
        <v>-1</v>
      </c>
      <c r="F43" s="234"/>
      <c r="G43" s="235"/>
      <c r="H43" s="234"/>
      <c r="I43" s="229"/>
      <c r="J43" s="236"/>
      <c r="K43" s="237"/>
      <c r="L43" s="234"/>
      <c r="M43" s="235"/>
      <c r="N43" s="234"/>
      <c r="O43" s="235"/>
      <c r="P43" s="234"/>
      <c r="Q43" s="229"/>
      <c r="R43" s="236"/>
      <c r="S43" s="238"/>
    </row>
    <row r="44" spans="1:19" x14ac:dyDescent="0.25">
      <c r="A44" t="s">
        <v>113</v>
      </c>
      <c r="B44" s="213" t="s">
        <v>284</v>
      </c>
      <c r="C44" s="232">
        <f>'PS BAND 1° SEM'!B19</f>
        <v>14</v>
      </c>
      <c r="D44" s="234"/>
      <c r="E44" s="233">
        <f t="shared" si="10"/>
        <v>-14</v>
      </c>
      <c r="F44" s="234"/>
      <c r="G44" s="235"/>
      <c r="H44" s="234"/>
      <c r="I44" s="229"/>
      <c r="J44" s="236"/>
      <c r="K44" s="237"/>
      <c r="L44" s="234"/>
      <c r="M44" s="235"/>
      <c r="N44" s="234"/>
      <c r="O44" s="235"/>
      <c r="P44" s="234"/>
      <c r="Q44" s="229"/>
      <c r="R44" s="236"/>
      <c r="S44" s="238"/>
    </row>
    <row r="45" spans="1:19" x14ac:dyDescent="0.25">
      <c r="A45" t="s">
        <v>113</v>
      </c>
      <c r="B45" s="214" t="s">
        <v>285</v>
      </c>
      <c r="C45" s="232">
        <f>'PS BAND 1° SEM'!B18</f>
        <v>1</v>
      </c>
      <c r="D45" s="234"/>
      <c r="E45" s="233">
        <f t="shared" si="10"/>
        <v>-1</v>
      </c>
      <c r="F45" s="234"/>
      <c r="G45" s="235"/>
      <c r="H45" s="234"/>
      <c r="I45" s="229"/>
      <c r="J45" s="236"/>
      <c r="K45" s="237"/>
      <c r="L45" s="234"/>
      <c r="M45" s="235"/>
      <c r="N45" s="234"/>
      <c r="O45" s="235"/>
      <c r="P45" s="234"/>
      <c r="Q45" s="229"/>
      <c r="R45" s="236"/>
      <c r="S45" s="238"/>
    </row>
    <row r="46" spans="1:19" ht="15.75" thickBot="1" x14ac:dyDescent="0.3">
      <c r="A46" t="s">
        <v>113</v>
      </c>
      <c r="B46" s="215" t="s">
        <v>135</v>
      </c>
      <c r="C46" s="232">
        <f>'PS BAND 1° SEM'!B18</f>
        <v>1</v>
      </c>
      <c r="D46" s="234"/>
      <c r="E46" s="233">
        <f t="shared" si="10"/>
        <v>-1</v>
      </c>
      <c r="F46" s="234"/>
      <c r="G46" s="235"/>
      <c r="H46" s="234"/>
      <c r="I46" s="229"/>
      <c r="J46" s="236"/>
      <c r="K46" s="237"/>
      <c r="L46" s="234"/>
      <c r="M46" s="235"/>
      <c r="N46" s="234"/>
      <c r="O46" s="235"/>
      <c r="P46" s="234"/>
      <c r="Q46" s="229"/>
      <c r="R46" s="236"/>
      <c r="S46" s="238"/>
    </row>
    <row r="47" spans="1:19" ht="15.75" thickBot="1" x14ac:dyDescent="0.3">
      <c r="B47" s="437" t="s">
        <v>118</v>
      </c>
      <c r="C47" s="255">
        <f>SUM(C42:C46)</f>
        <v>52</v>
      </c>
      <c r="D47" s="257"/>
      <c r="E47" s="256">
        <f t="shared" si="10"/>
        <v>-52</v>
      </c>
      <c r="F47" s="257"/>
      <c r="G47" s="253"/>
      <c r="H47" s="257"/>
      <c r="I47" s="253"/>
      <c r="J47" s="258"/>
      <c r="K47" s="259"/>
      <c r="L47" s="257"/>
      <c r="M47" s="253"/>
      <c r="N47" s="257"/>
      <c r="O47" s="253"/>
      <c r="P47" s="257"/>
      <c r="Q47" s="253"/>
      <c r="R47" s="258"/>
      <c r="S47" s="260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7A758-8601-470B-AF86-1FBB651D3670}">
  <sheetPr>
    <tabColor rgb="FF7030A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2.85546875" customWidth="1"/>
    <col min="2" max="2" width="9.85546875" customWidth="1"/>
    <col min="3" max="3" width="7.42578125" customWidth="1"/>
    <col min="4" max="4" width="11.140625" bestFit="1" customWidth="1"/>
    <col min="5" max="5" width="7.42578125" customWidth="1"/>
    <col min="6" max="6" width="11.140625" bestFit="1" customWidth="1"/>
    <col min="7" max="7" width="7.42578125" customWidth="1"/>
    <col min="8" max="8" width="11.140625" bestFit="1" customWidth="1"/>
    <col min="9" max="9" width="9.85546875" customWidth="1"/>
    <col min="10" max="10" width="11.140625" bestFit="1" customWidth="1"/>
    <col min="11" max="11" width="7.42578125" customWidth="1"/>
    <col min="12" max="12" width="11.140625" bestFit="1" customWidth="1"/>
    <col min="13" max="13" width="7.42578125" customWidth="1"/>
    <col min="14" max="14" width="11.140625" bestFit="1" customWidth="1"/>
    <col min="15" max="15" width="7.42578125" customWidth="1"/>
    <col min="16" max="16" width="11.140625" bestFit="1" customWidth="1"/>
    <col min="17" max="17" width="11.140625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799" t="s">
        <v>339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</row>
    <row r="6" spans="1:18" ht="26.25" customHeight="1" x14ac:dyDescent="0.25">
      <c r="A6" s="465" t="s">
        <v>8</v>
      </c>
      <c r="B6" s="466" t="s">
        <v>9</v>
      </c>
      <c r="C6" s="465" t="s">
        <v>382</v>
      </c>
      <c r="D6" s="467" t="s">
        <v>1</v>
      </c>
      <c r="E6" s="465" t="s">
        <v>381</v>
      </c>
      <c r="F6" s="467" t="s">
        <v>1</v>
      </c>
      <c r="G6" s="465" t="s">
        <v>380</v>
      </c>
      <c r="H6" s="467" t="s">
        <v>1</v>
      </c>
      <c r="I6" s="468" t="s">
        <v>138</v>
      </c>
      <c r="J6" s="468" t="s">
        <v>1</v>
      </c>
      <c r="K6" s="465" t="s">
        <v>379</v>
      </c>
      <c r="L6" s="467" t="s">
        <v>1</v>
      </c>
      <c r="M6" s="465" t="s">
        <v>378</v>
      </c>
      <c r="N6" s="467" t="s">
        <v>1</v>
      </c>
      <c r="O6" s="465" t="s">
        <v>377</v>
      </c>
      <c r="P6" s="467" t="s">
        <v>1</v>
      </c>
      <c r="Q6" s="468" t="s">
        <v>138</v>
      </c>
      <c r="R6" s="468" t="s">
        <v>1</v>
      </c>
    </row>
    <row r="7" spans="1:18" x14ac:dyDescent="0.25">
      <c r="A7" s="464" t="s">
        <v>158</v>
      </c>
      <c r="B7" s="315">
        <v>6720</v>
      </c>
      <c r="C7" s="311">
        <v>4535</v>
      </c>
      <c r="D7" s="314">
        <f t="shared" ref="D7:D15" si="0">((C7/$B7))-1</f>
        <v>-0.32514880952380953</v>
      </c>
      <c r="E7" s="311">
        <v>4960</v>
      </c>
      <c r="F7" s="314">
        <f t="shared" ref="F7:F15" si="1">((E7/$B7))-1</f>
        <v>-0.26190476190476186</v>
      </c>
      <c r="G7" s="311">
        <v>4501</v>
      </c>
      <c r="H7" s="314">
        <f t="shared" ref="H7:H15" si="2">((G7/$B7))-1</f>
        <v>-0.33020833333333333</v>
      </c>
      <c r="I7" s="313">
        <f t="shared" ref="I7:I15" si="3">C7+E7+G7</f>
        <v>13996</v>
      </c>
      <c r="J7" s="318">
        <f t="shared" ref="J7:J15" si="4">((I7/(3*$B7)))-1</f>
        <v>-0.30575396825396828</v>
      </c>
      <c r="K7" s="311">
        <v>5083</v>
      </c>
      <c r="L7" s="314">
        <f t="shared" ref="L7:L15" si="5">((K7/$B7))-1</f>
        <v>-0.24360119047619044</v>
      </c>
      <c r="M7" s="311">
        <v>4496</v>
      </c>
      <c r="N7" s="314">
        <f t="shared" ref="N7:N15" si="6">((M7/$B7))-1</f>
        <v>-0.330952380952381</v>
      </c>
      <c r="O7" s="311">
        <v>4311</v>
      </c>
      <c r="P7" s="314">
        <f t="shared" ref="P7:P15" si="7">((O7/$B7))-1</f>
        <v>-0.35848214285714286</v>
      </c>
      <c r="Q7" s="313">
        <f t="shared" ref="Q7:Q15" si="8">K7+M7+O7</f>
        <v>13890</v>
      </c>
      <c r="R7" s="318">
        <f t="shared" ref="R7:R15" si="9">((Q7/(3*$B7)))-1</f>
        <v>-0.31101190476190477</v>
      </c>
    </row>
    <row r="8" spans="1:18" x14ac:dyDescent="0.25">
      <c r="A8" s="464" t="s">
        <v>159</v>
      </c>
      <c r="B8" s="315">
        <v>2080</v>
      </c>
      <c r="C8" s="311">
        <v>1919</v>
      </c>
      <c r="D8" s="314">
        <f t="shared" si="0"/>
        <v>-7.7403846153846101E-2</v>
      </c>
      <c r="E8" s="311">
        <v>2129</v>
      </c>
      <c r="F8" s="314">
        <f t="shared" si="1"/>
        <v>2.3557692307692335E-2</v>
      </c>
      <c r="G8" s="311">
        <v>2081</v>
      </c>
      <c r="H8" s="314">
        <f t="shared" si="2"/>
        <v>4.8076923076934008E-4</v>
      </c>
      <c r="I8" s="313">
        <f t="shared" si="3"/>
        <v>6129</v>
      </c>
      <c r="J8" s="318">
        <f t="shared" si="4"/>
        <v>-1.7788461538461586E-2</v>
      </c>
      <c r="K8" s="311">
        <v>2054</v>
      </c>
      <c r="L8" s="314">
        <f t="shared" si="5"/>
        <v>-1.2499999999999956E-2</v>
      </c>
      <c r="M8" s="311">
        <v>1886</v>
      </c>
      <c r="N8" s="314">
        <f t="shared" si="6"/>
        <v>-9.3269230769230771E-2</v>
      </c>
      <c r="O8" s="311">
        <v>1774</v>
      </c>
      <c r="P8" s="314">
        <f t="shared" si="7"/>
        <v>-0.14711538461538465</v>
      </c>
      <c r="Q8" s="313">
        <f t="shared" si="8"/>
        <v>5714</v>
      </c>
      <c r="R8" s="318">
        <f t="shared" si="9"/>
        <v>-8.4294871794871828E-2</v>
      </c>
    </row>
    <row r="9" spans="1:18" x14ac:dyDescent="0.25">
      <c r="A9" s="464" t="s">
        <v>171</v>
      </c>
      <c r="B9" s="315">
        <v>780</v>
      </c>
      <c r="C9" s="311">
        <v>708</v>
      </c>
      <c r="D9" s="314">
        <f t="shared" si="0"/>
        <v>-9.2307692307692313E-2</v>
      </c>
      <c r="E9" s="311">
        <v>800</v>
      </c>
      <c r="F9" s="314">
        <f t="shared" si="1"/>
        <v>2.564102564102555E-2</v>
      </c>
      <c r="G9" s="311">
        <v>754</v>
      </c>
      <c r="H9" s="314">
        <f t="shared" si="2"/>
        <v>-3.3333333333333326E-2</v>
      </c>
      <c r="I9" s="313">
        <f t="shared" si="3"/>
        <v>2262</v>
      </c>
      <c r="J9" s="318">
        <f t="shared" si="4"/>
        <v>-3.3333333333333326E-2</v>
      </c>
      <c r="K9" s="311">
        <v>791</v>
      </c>
      <c r="L9" s="314">
        <f t="shared" si="5"/>
        <v>1.4102564102564052E-2</v>
      </c>
      <c r="M9" s="311">
        <v>668</v>
      </c>
      <c r="N9" s="314">
        <f t="shared" si="6"/>
        <v>-0.14358974358974363</v>
      </c>
      <c r="O9" s="311">
        <v>482</v>
      </c>
      <c r="P9" s="314">
        <f t="shared" si="7"/>
        <v>-0.38205128205128203</v>
      </c>
      <c r="Q9" s="313">
        <f t="shared" si="8"/>
        <v>1941</v>
      </c>
      <c r="R9" s="318">
        <f t="shared" si="9"/>
        <v>-0.17051282051282046</v>
      </c>
    </row>
    <row r="10" spans="1:18" ht="24" x14ac:dyDescent="0.25">
      <c r="A10" s="464" t="s">
        <v>191</v>
      </c>
      <c r="B10" s="315">
        <v>432</v>
      </c>
      <c r="C10" s="311">
        <v>429</v>
      </c>
      <c r="D10" s="314">
        <f t="shared" si="0"/>
        <v>-6.9444444444444198E-3</v>
      </c>
      <c r="E10" s="311">
        <v>544</v>
      </c>
      <c r="F10" s="314">
        <f t="shared" si="1"/>
        <v>0.2592592592592593</v>
      </c>
      <c r="G10" s="311">
        <v>379</v>
      </c>
      <c r="H10" s="314">
        <f t="shared" si="2"/>
        <v>-0.12268518518518523</v>
      </c>
      <c r="I10" s="313">
        <f t="shared" si="3"/>
        <v>1352</v>
      </c>
      <c r="J10" s="318">
        <f t="shared" si="4"/>
        <v>4.3209876543209846E-2</v>
      </c>
      <c r="K10" s="311">
        <v>354</v>
      </c>
      <c r="L10" s="314">
        <f t="shared" si="5"/>
        <v>-0.18055555555555558</v>
      </c>
      <c r="M10" s="311">
        <v>179</v>
      </c>
      <c r="N10" s="314">
        <f t="shared" si="6"/>
        <v>-0.58564814814814814</v>
      </c>
      <c r="O10" s="311">
        <v>207</v>
      </c>
      <c r="P10" s="314">
        <f t="shared" si="7"/>
        <v>-0.52083333333333326</v>
      </c>
      <c r="Q10" s="313">
        <f t="shared" si="8"/>
        <v>740</v>
      </c>
      <c r="R10" s="318">
        <f t="shared" si="9"/>
        <v>-0.42901234567901236</v>
      </c>
    </row>
    <row r="11" spans="1:18" ht="24" x14ac:dyDescent="0.25">
      <c r="A11" s="464" t="s">
        <v>177</v>
      </c>
      <c r="B11" s="315">
        <v>1512</v>
      </c>
      <c r="C11" s="311">
        <v>1242</v>
      </c>
      <c r="D11" s="314">
        <f t="shared" si="0"/>
        <v>-0.1785714285714286</v>
      </c>
      <c r="E11" s="311">
        <v>1479</v>
      </c>
      <c r="F11" s="314">
        <f t="shared" si="1"/>
        <v>-2.1825396825396859E-2</v>
      </c>
      <c r="G11" s="311">
        <v>776</v>
      </c>
      <c r="H11" s="314">
        <f t="shared" si="2"/>
        <v>-0.48677248677248675</v>
      </c>
      <c r="I11" s="313">
        <f t="shared" si="3"/>
        <v>3497</v>
      </c>
      <c r="J11" s="318">
        <f t="shared" si="4"/>
        <v>-0.22905643738977077</v>
      </c>
      <c r="K11" s="311">
        <v>731</v>
      </c>
      <c r="L11" s="314">
        <f t="shared" si="5"/>
        <v>-0.51653439153439151</v>
      </c>
      <c r="M11" s="311">
        <v>624</v>
      </c>
      <c r="N11" s="314">
        <f t="shared" si="6"/>
        <v>-0.58730158730158732</v>
      </c>
      <c r="O11" s="311">
        <v>714</v>
      </c>
      <c r="P11" s="314">
        <f t="shared" si="7"/>
        <v>-0.52777777777777779</v>
      </c>
      <c r="Q11" s="313">
        <f t="shared" si="8"/>
        <v>2069</v>
      </c>
      <c r="R11" s="318">
        <f t="shared" si="9"/>
        <v>-0.54387125220458554</v>
      </c>
    </row>
    <row r="12" spans="1:18" s="319" customFormat="1" x14ac:dyDescent="0.25">
      <c r="A12" s="473" t="s">
        <v>178</v>
      </c>
      <c r="B12" s="335">
        <v>263</v>
      </c>
      <c r="C12" s="469">
        <v>0</v>
      </c>
      <c r="D12" s="474">
        <f t="shared" si="0"/>
        <v>-1</v>
      </c>
      <c r="E12" s="469">
        <v>0</v>
      </c>
      <c r="F12" s="474">
        <f t="shared" si="1"/>
        <v>-1</v>
      </c>
      <c r="G12" s="469">
        <v>0</v>
      </c>
      <c r="H12" s="474">
        <f t="shared" si="2"/>
        <v>-1</v>
      </c>
      <c r="I12" s="313">
        <f t="shared" si="3"/>
        <v>0</v>
      </c>
      <c r="J12" s="318">
        <f t="shared" si="4"/>
        <v>-1</v>
      </c>
      <c r="K12" s="469">
        <v>0</v>
      </c>
      <c r="L12" s="474">
        <f t="shared" si="5"/>
        <v>-1</v>
      </c>
      <c r="M12" s="469">
        <v>0</v>
      </c>
      <c r="N12" s="474">
        <f t="shared" si="6"/>
        <v>-1</v>
      </c>
      <c r="O12" s="469">
        <v>0</v>
      </c>
      <c r="P12" s="474">
        <f t="shared" si="7"/>
        <v>-1</v>
      </c>
      <c r="Q12" s="313">
        <f t="shared" si="8"/>
        <v>0</v>
      </c>
      <c r="R12" s="318">
        <f t="shared" si="9"/>
        <v>-1</v>
      </c>
    </row>
    <row r="13" spans="1:18" s="319" customFormat="1" x14ac:dyDescent="0.25">
      <c r="A13" s="473" t="s">
        <v>179</v>
      </c>
      <c r="B13" s="335">
        <v>526</v>
      </c>
      <c r="C13" s="469">
        <v>63</v>
      </c>
      <c r="D13" s="474">
        <f t="shared" si="0"/>
        <v>-0.88022813688212931</v>
      </c>
      <c r="E13" s="469">
        <v>90</v>
      </c>
      <c r="F13" s="474">
        <f t="shared" si="1"/>
        <v>-0.82889733840304181</v>
      </c>
      <c r="G13" s="469">
        <v>110</v>
      </c>
      <c r="H13" s="474">
        <f t="shared" si="2"/>
        <v>-0.79087452471482889</v>
      </c>
      <c r="I13" s="313">
        <f t="shared" si="3"/>
        <v>263</v>
      </c>
      <c r="J13" s="318">
        <f t="shared" si="4"/>
        <v>-0.83333333333333337</v>
      </c>
      <c r="K13" s="469">
        <v>81</v>
      </c>
      <c r="L13" s="474">
        <f t="shared" si="5"/>
        <v>-0.8460076045627376</v>
      </c>
      <c r="M13" s="469">
        <v>58</v>
      </c>
      <c r="N13" s="474">
        <f t="shared" si="6"/>
        <v>-0.88973384030418257</v>
      </c>
      <c r="O13" s="469">
        <v>62</v>
      </c>
      <c r="P13" s="474">
        <f t="shared" si="7"/>
        <v>-0.88212927756653992</v>
      </c>
      <c r="Q13" s="313">
        <f t="shared" si="8"/>
        <v>201</v>
      </c>
      <c r="R13" s="318">
        <f t="shared" si="9"/>
        <v>-0.87262357414448666</v>
      </c>
    </row>
    <row r="14" spans="1:18" ht="15" customHeight="1" x14ac:dyDescent="0.25">
      <c r="A14" s="464" t="s">
        <v>180</v>
      </c>
      <c r="B14" s="315">
        <v>166</v>
      </c>
      <c r="C14" s="311">
        <v>188</v>
      </c>
      <c r="D14" s="314">
        <f t="shared" si="0"/>
        <v>0.1325301204819278</v>
      </c>
      <c r="E14" s="311">
        <v>234</v>
      </c>
      <c r="F14" s="314">
        <f t="shared" si="1"/>
        <v>0.40963855421686746</v>
      </c>
      <c r="G14" s="311">
        <v>215</v>
      </c>
      <c r="H14" s="314">
        <f t="shared" si="2"/>
        <v>0.29518072289156616</v>
      </c>
      <c r="I14" s="313">
        <f t="shared" si="3"/>
        <v>637</v>
      </c>
      <c r="J14" s="318">
        <f t="shared" si="4"/>
        <v>0.27911646586345373</v>
      </c>
      <c r="K14" s="311">
        <v>210</v>
      </c>
      <c r="L14" s="314">
        <f t="shared" si="5"/>
        <v>0.26506024096385539</v>
      </c>
      <c r="M14" s="311">
        <v>215</v>
      </c>
      <c r="N14" s="314">
        <f t="shared" si="6"/>
        <v>0.29518072289156616</v>
      </c>
      <c r="O14" s="311">
        <v>166</v>
      </c>
      <c r="P14" s="314">
        <f t="shared" si="7"/>
        <v>0</v>
      </c>
      <c r="Q14" s="313">
        <f t="shared" si="8"/>
        <v>591</v>
      </c>
      <c r="R14" s="318">
        <f t="shared" si="9"/>
        <v>0.18674698795180733</v>
      </c>
    </row>
    <row r="15" spans="1:18" ht="15" customHeight="1" x14ac:dyDescent="0.25">
      <c r="A15" s="470" t="s">
        <v>2</v>
      </c>
      <c r="B15" s="315">
        <f>SUM(B7:B14)</f>
        <v>12479</v>
      </c>
      <c r="C15" s="471">
        <f>SUM(C7:C14)</f>
        <v>9084</v>
      </c>
      <c r="D15" s="314">
        <f t="shared" si="0"/>
        <v>-0.27205705585383444</v>
      </c>
      <c r="E15" s="471">
        <f>SUM(E7:E14)</f>
        <v>10236</v>
      </c>
      <c r="F15" s="314">
        <f t="shared" si="1"/>
        <v>-0.17974196650372631</v>
      </c>
      <c r="G15" s="471">
        <f>SUM(G7:G14)</f>
        <v>8816</v>
      </c>
      <c r="H15" s="314">
        <f t="shared" si="2"/>
        <v>-0.29353313566792216</v>
      </c>
      <c r="I15" s="472">
        <f t="shared" si="3"/>
        <v>28136</v>
      </c>
      <c r="J15" s="318">
        <f t="shared" si="4"/>
        <v>-0.2484440526751609</v>
      </c>
      <c r="K15" s="471">
        <f>SUM(K7:K14)</f>
        <v>9304</v>
      </c>
      <c r="L15" s="314">
        <f t="shared" si="5"/>
        <v>-0.25442743809600132</v>
      </c>
      <c r="M15" s="471">
        <f>SUM(M7:M14)</f>
        <v>8126</v>
      </c>
      <c r="N15" s="314">
        <f t="shared" si="6"/>
        <v>-0.34882602772658067</v>
      </c>
      <c r="O15" s="471">
        <f>SUM(O7:O14)</f>
        <v>7716</v>
      </c>
      <c r="P15" s="314">
        <f t="shared" si="7"/>
        <v>-0.38168122445708785</v>
      </c>
      <c r="Q15" s="472">
        <f t="shared" si="8"/>
        <v>25146</v>
      </c>
      <c r="R15" s="318">
        <f t="shared" si="9"/>
        <v>-0.32831156342655665</v>
      </c>
    </row>
    <row r="16" spans="1:18" ht="15" hidden="1" customHeight="1" x14ac:dyDescent="0.25"/>
    <row r="17" spans="1:18" ht="15.75" hidden="1" customHeight="1" x14ac:dyDescent="0.25">
      <c r="A17" s="14"/>
    </row>
    <row r="18" spans="1:18" ht="15.75" hidden="1" customHeight="1" x14ac:dyDescent="0.25">
      <c r="A18" s="799" t="s">
        <v>338</v>
      </c>
      <c r="B18" s="799"/>
      <c r="C18" s="799"/>
      <c r="D18" s="799"/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</row>
    <row r="19" spans="1:18" ht="15" hidden="1" customHeight="1" x14ac:dyDescent="0.25">
      <c r="A19" s="465" t="s">
        <v>8</v>
      </c>
      <c r="B19" s="466" t="s">
        <v>9</v>
      </c>
      <c r="C19" s="465" t="str">
        <f t="shared" ref="C19:R19" si="10">C6</f>
        <v>JUL</v>
      </c>
      <c r="D19" s="467" t="str">
        <f t="shared" si="10"/>
        <v>%</v>
      </c>
      <c r="E19" s="465" t="str">
        <f t="shared" si="10"/>
        <v>AGO</v>
      </c>
      <c r="F19" s="467" t="str">
        <f t="shared" si="10"/>
        <v>%</v>
      </c>
      <c r="G19" s="465" t="str">
        <f t="shared" si="10"/>
        <v>SET</v>
      </c>
      <c r="H19" s="467" t="str">
        <f t="shared" si="10"/>
        <v>%</v>
      </c>
      <c r="I19" s="468" t="str">
        <f t="shared" si="10"/>
        <v>Trimestre</v>
      </c>
      <c r="J19" s="468" t="str">
        <f t="shared" si="10"/>
        <v>%</v>
      </c>
      <c r="K19" s="465" t="str">
        <f t="shared" si="10"/>
        <v>OUT</v>
      </c>
      <c r="L19" s="467" t="str">
        <f t="shared" si="10"/>
        <v>%</v>
      </c>
      <c r="M19" s="465" t="str">
        <f t="shared" si="10"/>
        <v>NOV</v>
      </c>
      <c r="N19" s="467" t="str">
        <f t="shared" si="10"/>
        <v>%</v>
      </c>
      <c r="O19" s="465" t="str">
        <f t="shared" si="10"/>
        <v>DEZ</v>
      </c>
      <c r="P19" s="467" t="str">
        <f t="shared" si="10"/>
        <v>%</v>
      </c>
      <c r="Q19" s="468" t="str">
        <f t="shared" si="10"/>
        <v>Trimestre</v>
      </c>
      <c r="R19" s="468" t="str">
        <f t="shared" si="10"/>
        <v>%</v>
      </c>
    </row>
    <row r="20" spans="1:18" ht="15" hidden="1" customHeight="1" x14ac:dyDescent="0.25">
      <c r="A20" s="464" t="s">
        <v>164</v>
      </c>
      <c r="B20" s="315">
        <v>28</v>
      </c>
      <c r="C20" s="311">
        <v>28</v>
      </c>
      <c r="D20" s="314">
        <f t="shared" ref="D20:D31" si="11">((C20/$B20))-1</f>
        <v>0</v>
      </c>
      <c r="E20" s="311">
        <v>27</v>
      </c>
      <c r="F20" s="314">
        <f t="shared" ref="F20:F31" si="12">((E20/$B20))-1</f>
        <v>-3.5714285714285698E-2</v>
      </c>
      <c r="G20" s="311">
        <v>27</v>
      </c>
      <c r="H20" s="314">
        <f t="shared" ref="H20:H31" si="13">((G20/$B20))-1</f>
        <v>-3.5714285714285698E-2</v>
      </c>
      <c r="I20" s="313">
        <f t="shared" ref="I20:I26" si="14">C20+E20+G20</f>
        <v>82</v>
      </c>
      <c r="J20" s="318">
        <f t="shared" ref="J20:J31" si="15">((I20/(3*$B20)))-1</f>
        <v>-2.3809523809523836E-2</v>
      </c>
      <c r="K20" s="311">
        <v>26</v>
      </c>
      <c r="L20" s="314">
        <f t="shared" ref="L20:L31" si="16">((K20/$B20))-1</f>
        <v>-7.1428571428571397E-2</v>
      </c>
      <c r="M20" s="311"/>
      <c r="N20" s="314">
        <f t="shared" ref="N20:N31" si="17">((M20/$B20))-1</f>
        <v>-1</v>
      </c>
      <c r="O20" s="311"/>
      <c r="P20" s="314">
        <f t="shared" ref="P20:P31" si="18">((O20/$B20))-1</f>
        <v>-1</v>
      </c>
      <c r="Q20" s="313">
        <f t="shared" ref="Q20:Q31" si="19">K20+M20+O20</f>
        <v>26</v>
      </c>
      <c r="R20" s="318">
        <f t="shared" ref="R20:R31" si="20">((Q20/(3*$B20)))-1</f>
        <v>-0.69047619047619047</v>
      </c>
    </row>
    <row r="21" spans="1:18" ht="15" hidden="1" customHeight="1" x14ac:dyDescent="0.25">
      <c r="A21" s="464" t="s">
        <v>165</v>
      </c>
      <c r="B21" s="315">
        <v>5</v>
      </c>
      <c r="C21" s="311">
        <v>5</v>
      </c>
      <c r="D21" s="314">
        <f t="shared" si="11"/>
        <v>0</v>
      </c>
      <c r="E21" s="311">
        <v>5</v>
      </c>
      <c r="F21" s="314">
        <f t="shared" si="12"/>
        <v>0</v>
      </c>
      <c r="G21" s="311">
        <v>5</v>
      </c>
      <c r="H21" s="314">
        <f t="shared" si="13"/>
        <v>0</v>
      </c>
      <c r="I21" s="313">
        <f t="shared" si="14"/>
        <v>15</v>
      </c>
      <c r="J21" s="318">
        <f t="shared" si="15"/>
        <v>0</v>
      </c>
      <c r="K21" s="311">
        <v>5</v>
      </c>
      <c r="L21" s="314">
        <f t="shared" si="16"/>
        <v>0</v>
      </c>
      <c r="M21" s="311"/>
      <c r="N21" s="314">
        <f t="shared" si="17"/>
        <v>-1</v>
      </c>
      <c r="O21" s="311"/>
      <c r="P21" s="314">
        <f t="shared" si="18"/>
        <v>-1</v>
      </c>
      <c r="Q21" s="313">
        <f t="shared" si="19"/>
        <v>5</v>
      </c>
      <c r="R21" s="318">
        <f t="shared" si="20"/>
        <v>-0.66666666666666674</v>
      </c>
    </row>
    <row r="22" spans="1:18" ht="15" hidden="1" customHeight="1" x14ac:dyDescent="0.25">
      <c r="A22" s="464" t="s">
        <v>186</v>
      </c>
      <c r="B22" s="315">
        <v>5</v>
      </c>
      <c r="C22" s="311">
        <v>5</v>
      </c>
      <c r="D22" s="314">
        <f t="shared" si="11"/>
        <v>0</v>
      </c>
      <c r="E22" s="311">
        <v>5</v>
      </c>
      <c r="F22" s="314">
        <f t="shared" si="12"/>
        <v>0</v>
      </c>
      <c r="G22" s="311">
        <v>4</v>
      </c>
      <c r="H22" s="314">
        <f t="shared" si="13"/>
        <v>-0.19999999999999996</v>
      </c>
      <c r="I22" s="313">
        <f t="shared" si="14"/>
        <v>14</v>
      </c>
      <c r="J22" s="318">
        <f t="shared" si="15"/>
        <v>-6.6666666666666652E-2</v>
      </c>
      <c r="K22" s="311">
        <v>5</v>
      </c>
      <c r="L22" s="314">
        <f t="shared" si="16"/>
        <v>0</v>
      </c>
      <c r="M22" s="311"/>
      <c r="N22" s="314">
        <f t="shared" si="17"/>
        <v>-1</v>
      </c>
      <c r="O22" s="311"/>
      <c r="P22" s="314">
        <f t="shared" si="18"/>
        <v>-1</v>
      </c>
      <c r="Q22" s="313">
        <f t="shared" si="19"/>
        <v>5</v>
      </c>
      <c r="R22" s="318">
        <f t="shared" si="20"/>
        <v>-0.66666666666666674</v>
      </c>
    </row>
    <row r="23" spans="1:18" ht="15" hidden="1" customHeight="1" x14ac:dyDescent="0.25">
      <c r="A23" s="464" t="s">
        <v>196</v>
      </c>
      <c r="B23" s="315">
        <v>2</v>
      </c>
      <c r="C23" s="311">
        <v>2</v>
      </c>
      <c r="D23" s="314">
        <f t="shared" si="11"/>
        <v>0</v>
      </c>
      <c r="E23" s="311">
        <v>2</v>
      </c>
      <c r="F23" s="314">
        <f t="shared" si="12"/>
        <v>0</v>
      </c>
      <c r="G23" s="311">
        <v>2</v>
      </c>
      <c r="H23" s="314">
        <f t="shared" si="13"/>
        <v>0</v>
      </c>
      <c r="I23" s="313">
        <f t="shared" si="14"/>
        <v>6</v>
      </c>
      <c r="J23" s="318">
        <f t="shared" si="15"/>
        <v>0</v>
      </c>
      <c r="K23" s="311">
        <v>2</v>
      </c>
      <c r="L23" s="314">
        <f t="shared" si="16"/>
        <v>0</v>
      </c>
      <c r="M23" s="311"/>
      <c r="N23" s="314">
        <f t="shared" si="17"/>
        <v>-1</v>
      </c>
      <c r="O23" s="311"/>
      <c r="P23" s="314">
        <f t="shared" si="18"/>
        <v>-1</v>
      </c>
      <c r="Q23" s="313">
        <f t="shared" si="19"/>
        <v>2</v>
      </c>
      <c r="R23" s="318">
        <f t="shared" si="20"/>
        <v>-0.66666666666666674</v>
      </c>
    </row>
    <row r="24" spans="1:18" s="319" customFormat="1" ht="15" hidden="1" customHeight="1" x14ac:dyDescent="0.25">
      <c r="A24" s="473" t="s">
        <v>181</v>
      </c>
      <c r="B24" s="335">
        <v>1</v>
      </c>
      <c r="C24" s="469">
        <v>0</v>
      </c>
      <c r="D24" s="474">
        <f t="shared" si="11"/>
        <v>-1</v>
      </c>
      <c r="E24" s="469">
        <v>0</v>
      </c>
      <c r="F24" s="474">
        <f t="shared" si="12"/>
        <v>-1</v>
      </c>
      <c r="G24" s="469">
        <v>0</v>
      </c>
      <c r="H24" s="474">
        <f t="shared" si="13"/>
        <v>-1</v>
      </c>
      <c r="I24" s="313">
        <f t="shared" si="14"/>
        <v>0</v>
      </c>
      <c r="J24" s="318">
        <f t="shared" si="15"/>
        <v>-1</v>
      </c>
      <c r="K24" s="469">
        <v>0</v>
      </c>
      <c r="L24" s="474">
        <f t="shared" si="16"/>
        <v>-1</v>
      </c>
      <c r="M24" s="469"/>
      <c r="N24" s="474">
        <f t="shared" si="17"/>
        <v>-1</v>
      </c>
      <c r="O24" s="469"/>
      <c r="P24" s="474">
        <f t="shared" si="18"/>
        <v>-1</v>
      </c>
      <c r="Q24" s="313">
        <f t="shared" si="19"/>
        <v>0</v>
      </c>
      <c r="R24" s="318">
        <f t="shared" si="20"/>
        <v>-1</v>
      </c>
    </row>
    <row r="25" spans="1:18" s="319" customFormat="1" ht="15" hidden="1" customHeight="1" x14ac:dyDescent="0.25">
      <c r="A25" s="473" t="s">
        <v>182</v>
      </c>
      <c r="B25" s="335">
        <v>2</v>
      </c>
      <c r="C25" s="469">
        <v>2</v>
      </c>
      <c r="D25" s="474">
        <f t="shared" si="11"/>
        <v>0</v>
      </c>
      <c r="E25" s="469">
        <v>2</v>
      </c>
      <c r="F25" s="474">
        <f t="shared" si="12"/>
        <v>0</v>
      </c>
      <c r="G25" s="469">
        <v>2</v>
      </c>
      <c r="H25" s="474">
        <f t="shared" si="13"/>
        <v>0</v>
      </c>
      <c r="I25" s="313">
        <f t="shared" si="14"/>
        <v>6</v>
      </c>
      <c r="J25" s="318">
        <f t="shared" si="15"/>
        <v>0</v>
      </c>
      <c r="K25" s="469">
        <v>2</v>
      </c>
      <c r="L25" s="474">
        <f t="shared" si="16"/>
        <v>0</v>
      </c>
      <c r="M25" s="469"/>
      <c r="N25" s="474">
        <f t="shared" si="17"/>
        <v>-1</v>
      </c>
      <c r="O25" s="469"/>
      <c r="P25" s="474">
        <f t="shared" si="18"/>
        <v>-1</v>
      </c>
      <c r="Q25" s="313">
        <f t="shared" si="19"/>
        <v>2</v>
      </c>
      <c r="R25" s="318">
        <f t="shared" si="20"/>
        <v>-0.66666666666666674</v>
      </c>
    </row>
    <row r="26" spans="1:18" ht="15" hidden="1" customHeight="1" x14ac:dyDescent="0.25">
      <c r="A26" s="464" t="s">
        <v>183</v>
      </c>
      <c r="B26" s="315">
        <v>1</v>
      </c>
      <c r="C26" s="311">
        <v>1</v>
      </c>
      <c r="D26" s="314">
        <f t="shared" si="11"/>
        <v>0</v>
      </c>
      <c r="E26" s="311">
        <v>1</v>
      </c>
      <c r="F26" s="314">
        <f t="shared" si="12"/>
        <v>0</v>
      </c>
      <c r="G26" s="311">
        <v>1</v>
      </c>
      <c r="H26" s="314">
        <f t="shared" si="13"/>
        <v>0</v>
      </c>
      <c r="I26" s="313">
        <f t="shared" si="14"/>
        <v>3</v>
      </c>
      <c r="J26" s="318">
        <f t="shared" si="15"/>
        <v>0</v>
      </c>
      <c r="K26" s="311">
        <v>1</v>
      </c>
      <c r="L26" s="314">
        <f t="shared" si="16"/>
        <v>0</v>
      </c>
      <c r="M26" s="311"/>
      <c r="N26" s="314">
        <f t="shared" si="17"/>
        <v>-1</v>
      </c>
      <c r="O26" s="311"/>
      <c r="P26" s="314">
        <f t="shared" si="18"/>
        <v>-1</v>
      </c>
      <c r="Q26" s="313">
        <f t="shared" si="19"/>
        <v>1</v>
      </c>
      <c r="R26" s="318">
        <f t="shared" si="20"/>
        <v>-0.66666666666666674</v>
      </c>
    </row>
    <row r="27" spans="1:18" ht="15" hidden="1" customHeight="1" x14ac:dyDescent="0.25">
      <c r="A27" s="464" t="s">
        <v>184</v>
      </c>
      <c r="B27" s="315">
        <v>2</v>
      </c>
      <c r="C27" s="311">
        <v>2</v>
      </c>
      <c r="D27" s="314">
        <f t="shared" si="11"/>
        <v>0</v>
      </c>
      <c r="E27" s="311">
        <v>2</v>
      </c>
      <c r="F27" s="314">
        <f t="shared" si="12"/>
        <v>0</v>
      </c>
      <c r="G27" s="311">
        <v>2</v>
      </c>
      <c r="H27" s="314">
        <f t="shared" si="13"/>
        <v>0</v>
      </c>
      <c r="I27" s="313">
        <v>0</v>
      </c>
      <c r="J27" s="318">
        <f t="shared" si="15"/>
        <v>-1</v>
      </c>
      <c r="K27" s="311">
        <v>2</v>
      </c>
      <c r="L27" s="314">
        <f t="shared" si="16"/>
        <v>0</v>
      </c>
      <c r="M27" s="311"/>
      <c r="N27" s="314">
        <f t="shared" si="17"/>
        <v>-1</v>
      </c>
      <c r="O27" s="311"/>
      <c r="P27" s="314">
        <f t="shared" si="18"/>
        <v>-1</v>
      </c>
      <c r="Q27" s="313">
        <f t="shared" si="19"/>
        <v>2</v>
      </c>
      <c r="R27" s="318">
        <f t="shared" si="20"/>
        <v>-0.66666666666666674</v>
      </c>
    </row>
    <row r="28" spans="1:18" ht="15" hidden="1" customHeight="1" x14ac:dyDescent="0.25">
      <c r="A28" s="464" t="s">
        <v>145</v>
      </c>
      <c r="B28" s="315">
        <v>2</v>
      </c>
      <c r="C28" s="311">
        <v>2</v>
      </c>
      <c r="D28" s="314">
        <f t="shared" si="11"/>
        <v>0</v>
      </c>
      <c r="E28" s="311">
        <v>2</v>
      </c>
      <c r="F28" s="314">
        <f t="shared" si="12"/>
        <v>0</v>
      </c>
      <c r="G28" s="311">
        <v>1</v>
      </c>
      <c r="H28" s="314">
        <f t="shared" si="13"/>
        <v>-0.5</v>
      </c>
      <c r="I28" s="313">
        <v>0</v>
      </c>
      <c r="J28" s="318">
        <f t="shared" si="15"/>
        <v>-1</v>
      </c>
      <c r="K28" s="311">
        <v>1</v>
      </c>
      <c r="L28" s="314">
        <f t="shared" si="16"/>
        <v>-0.5</v>
      </c>
      <c r="M28" s="311"/>
      <c r="N28" s="314">
        <f t="shared" si="17"/>
        <v>-1</v>
      </c>
      <c r="O28" s="311"/>
      <c r="P28" s="314">
        <f t="shared" si="18"/>
        <v>-1</v>
      </c>
      <c r="Q28" s="313">
        <f t="shared" si="19"/>
        <v>1</v>
      </c>
      <c r="R28" s="318">
        <f t="shared" si="20"/>
        <v>-0.83333333333333337</v>
      </c>
    </row>
    <row r="29" spans="1:18" ht="15" hidden="1" customHeight="1" x14ac:dyDescent="0.25">
      <c r="A29" s="464" t="s">
        <v>185</v>
      </c>
      <c r="B29" s="315">
        <v>1</v>
      </c>
      <c r="C29" s="311">
        <v>1</v>
      </c>
      <c r="D29" s="314">
        <f t="shared" si="11"/>
        <v>0</v>
      </c>
      <c r="E29" s="311">
        <v>1</v>
      </c>
      <c r="F29" s="314">
        <f t="shared" si="12"/>
        <v>0</v>
      </c>
      <c r="G29" s="311">
        <v>1</v>
      </c>
      <c r="H29" s="314">
        <f t="shared" si="13"/>
        <v>0</v>
      </c>
      <c r="I29" s="313">
        <v>0</v>
      </c>
      <c r="J29" s="318">
        <f t="shared" si="15"/>
        <v>-1</v>
      </c>
      <c r="K29" s="311">
        <v>1</v>
      </c>
      <c r="L29" s="314">
        <f t="shared" si="16"/>
        <v>0</v>
      </c>
      <c r="M29" s="311"/>
      <c r="N29" s="314">
        <f t="shared" si="17"/>
        <v>-1</v>
      </c>
      <c r="O29" s="311"/>
      <c r="P29" s="314">
        <f t="shared" si="18"/>
        <v>-1</v>
      </c>
      <c r="Q29" s="313">
        <f t="shared" si="19"/>
        <v>1</v>
      </c>
      <c r="R29" s="318">
        <f t="shared" si="20"/>
        <v>-0.66666666666666674</v>
      </c>
    </row>
    <row r="30" spans="1:18" ht="15" hidden="1" customHeight="1" x14ac:dyDescent="0.25">
      <c r="A30" s="464" t="s">
        <v>187</v>
      </c>
      <c r="B30" s="315">
        <v>1</v>
      </c>
      <c r="C30" s="311">
        <v>1</v>
      </c>
      <c r="D30" s="314">
        <f t="shared" si="11"/>
        <v>0</v>
      </c>
      <c r="E30" s="311">
        <v>1</v>
      </c>
      <c r="F30" s="314">
        <f t="shared" si="12"/>
        <v>0</v>
      </c>
      <c r="G30" s="311">
        <v>1</v>
      </c>
      <c r="H30" s="314">
        <f t="shared" si="13"/>
        <v>0</v>
      </c>
      <c r="I30" s="313">
        <v>0</v>
      </c>
      <c r="J30" s="318">
        <f t="shared" si="15"/>
        <v>-1</v>
      </c>
      <c r="K30" s="311">
        <v>1</v>
      </c>
      <c r="L30" s="314">
        <f t="shared" si="16"/>
        <v>0</v>
      </c>
      <c r="M30" s="311"/>
      <c r="N30" s="314">
        <f t="shared" si="17"/>
        <v>-1</v>
      </c>
      <c r="O30" s="311"/>
      <c r="P30" s="314">
        <f t="shared" si="18"/>
        <v>-1</v>
      </c>
      <c r="Q30" s="313">
        <f t="shared" si="19"/>
        <v>1</v>
      </c>
      <c r="R30" s="318">
        <f t="shared" si="20"/>
        <v>-0.66666666666666674</v>
      </c>
    </row>
    <row r="31" spans="1:18" ht="15" hidden="1" customHeight="1" x14ac:dyDescent="0.25">
      <c r="A31" s="470" t="s">
        <v>2</v>
      </c>
      <c r="B31" s="315">
        <f>SUM(B20:B30)</f>
        <v>50</v>
      </c>
      <c r="C31" s="471">
        <v>1</v>
      </c>
      <c r="D31" s="314">
        <f t="shared" si="11"/>
        <v>-0.98</v>
      </c>
      <c r="E31" s="471">
        <f>SUM(E20:E30)</f>
        <v>48</v>
      </c>
      <c r="F31" s="314">
        <f t="shared" si="12"/>
        <v>-4.0000000000000036E-2</v>
      </c>
      <c r="G31" s="471">
        <f>SUM(G20:G30)</f>
        <v>46</v>
      </c>
      <c r="H31" s="314">
        <f t="shared" si="13"/>
        <v>-7.999999999999996E-2</v>
      </c>
      <c r="I31" s="313">
        <f>C31+E31+G31</f>
        <v>95</v>
      </c>
      <c r="J31" s="318">
        <f t="shared" si="15"/>
        <v>-0.3666666666666667</v>
      </c>
      <c r="K31" s="471">
        <f>SUM(K20:K30)</f>
        <v>46</v>
      </c>
      <c r="L31" s="314">
        <f t="shared" si="16"/>
        <v>-7.999999999999996E-2</v>
      </c>
      <c r="M31" s="471">
        <f>SUM(M20:M30)</f>
        <v>0</v>
      </c>
      <c r="N31" s="314">
        <f t="shared" si="17"/>
        <v>-1</v>
      </c>
      <c r="O31" s="471">
        <f>SUM(O20:O30)</f>
        <v>0</v>
      </c>
      <c r="P31" s="314">
        <f t="shared" si="18"/>
        <v>-1</v>
      </c>
      <c r="Q31" s="313">
        <f t="shared" si="19"/>
        <v>46</v>
      </c>
      <c r="R31" s="318">
        <f t="shared" si="20"/>
        <v>-0.69333333333333336</v>
      </c>
    </row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A18:R18"/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2" orientation="landscape" r:id="rId1"/>
  <headerFooter>
    <oddFooter>&amp;L&amp;10Fonte: Sistema WEBSAASS / SMS&amp;R&amp;10pag.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217" customWidth="1"/>
    <col min="4" max="4" width="8" style="23" customWidth="1"/>
    <col min="5" max="5" width="8.140625" style="23" bestFit="1" customWidth="1"/>
    <col min="6" max="6" width="7.7109375" style="23" bestFit="1" customWidth="1"/>
    <col min="7" max="7" width="9" style="23" customWidth="1"/>
    <col min="8" max="8" width="7.85546875" style="23" bestFit="1" customWidth="1"/>
    <col min="9" max="9" width="9.140625" style="23"/>
    <col min="10" max="10" width="10" style="217" customWidth="1"/>
    <col min="11" max="11" width="9.140625" style="23"/>
    <col min="12" max="12" width="7.5703125" style="23" bestFit="1" customWidth="1"/>
    <col min="13" max="13" width="8.140625" style="23" bestFit="1" customWidth="1"/>
    <col min="14" max="14" width="7.5703125" style="23" bestFit="1" customWidth="1"/>
    <col min="15" max="15" width="8.140625" style="23" bestFit="1" customWidth="1"/>
    <col min="16" max="16" width="7.5703125" style="23" bestFit="1" customWidth="1"/>
    <col min="17" max="17" width="8.140625" style="23" bestFit="1" customWidth="1"/>
    <col min="18" max="18" width="10" style="217" customWidth="1"/>
    <col min="19" max="19" width="9.140625" style="23"/>
  </cols>
  <sheetData>
    <row r="1" spans="1:19" ht="18" x14ac:dyDescent="0.35">
      <c r="A1" s="443" t="s">
        <v>231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262"/>
      <c r="O1" s="262"/>
    </row>
    <row r="2" spans="1:19" ht="18" x14ac:dyDescent="0.35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262"/>
      <c r="O2" s="262"/>
    </row>
    <row r="3" spans="1:19" ht="15.75" customHeight="1" x14ac:dyDescent="0.25">
      <c r="A3" t="s">
        <v>30</v>
      </c>
      <c r="B3" s="453" t="s">
        <v>32</v>
      </c>
      <c r="C3" s="450" t="s">
        <v>31</v>
      </c>
      <c r="D3" s="451"/>
      <c r="E3" s="451"/>
      <c r="F3" s="451"/>
      <c r="G3" s="451"/>
      <c r="H3" s="452"/>
      <c r="I3" s="452"/>
      <c r="J3" s="451"/>
      <c r="K3" s="451"/>
      <c r="L3" s="451"/>
      <c r="M3" s="451"/>
    </row>
    <row r="4" spans="1:19" ht="15.75" x14ac:dyDescent="0.25">
      <c r="A4" s="24"/>
      <c r="B4" s="454"/>
      <c r="C4" s="450"/>
      <c r="D4" s="194"/>
      <c r="E4" s="288"/>
      <c r="F4" s="194"/>
      <c r="G4" s="288"/>
      <c r="H4" s="194"/>
      <c r="I4" s="288"/>
      <c r="J4" s="195"/>
      <c r="K4" s="195"/>
      <c r="L4" s="194"/>
      <c r="M4" s="288"/>
      <c r="N4" s="194"/>
      <c r="O4" s="288"/>
      <c r="P4" s="194"/>
      <c r="Q4" s="288"/>
      <c r="R4" s="195"/>
      <c r="S4" s="195"/>
    </row>
    <row r="5" spans="1:19" x14ac:dyDescent="0.25">
      <c r="A5" s="25" t="s">
        <v>33</v>
      </c>
      <c r="B5" s="444" t="s">
        <v>34</v>
      </c>
      <c r="C5" s="444"/>
      <c r="D5" s="444"/>
      <c r="E5" s="444"/>
      <c r="F5" s="444"/>
      <c r="G5" s="444"/>
      <c r="H5" s="445"/>
      <c r="I5" s="445"/>
      <c r="J5" s="444"/>
      <c r="K5" s="444"/>
      <c r="L5" s="444"/>
      <c r="M5" s="444"/>
    </row>
    <row r="6" spans="1:19" ht="15" customHeight="1" x14ac:dyDescent="0.25">
      <c r="A6" s="26">
        <v>4</v>
      </c>
      <c r="B6" s="37" t="s">
        <v>35</v>
      </c>
      <c r="C6" s="289"/>
      <c r="D6" s="263"/>
      <c r="E6" s="34"/>
      <c r="F6" s="263"/>
      <c r="G6" s="34"/>
      <c r="H6" s="263"/>
      <c r="I6" s="34"/>
      <c r="J6" s="278"/>
      <c r="K6" s="35"/>
      <c r="L6" s="263"/>
      <c r="M6" s="34"/>
      <c r="N6" s="263"/>
      <c r="O6" s="34"/>
      <c r="P6" s="263"/>
      <c r="Q6" s="34"/>
      <c r="R6" s="278"/>
      <c r="S6" s="35"/>
    </row>
    <row r="7" spans="1:19" ht="15" customHeight="1" x14ac:dyDescent="0.25">
      <c r="A7" s="26">
        <v>6</v>
      </c>
      <c r="B7" s="37" t="s">
        <v>36</v>
      </c>
      <c r="C7" s="289"/>
      <c r="D7" s="263"/>
      <c r="E7" s="34"/>
      <c r="F7" s="263"/>
      <c r="G7" s="34"/>
      <c r="H7" s="263"/>
      <c r="I7" s="34"/>
      <c r="J7" s="278"/>
      <c r="K7" s="35"/>
      <c r="L7" s="263"/>
      <c r="M7" s="34"/>
      <c r="N7" s="263"/>
      <c r="O7" s="34"/>
      <c r="P7" s="263"/>
      <c r="Q7" s="34"/>
      <c r="R7" s="278"/>
      <c r="S7" s="35"/>
    </row>
    <row r="8" spans="1:19" ht="15" customHeight="1" x14ac:dyDescent="0.25">
      <c r="A8" s="26">
        <v>5</v>
      </c>
      <c r="B8" s="37" t="s">
        <v>38</v>
      </c>
      <c r="C8" s="289"/>
      <c r="D8" s="263"/>
      <c r="E8" s="34"/>
      <c r="F8" s="263"/>
      <c r="G8" s="34"/>
      <c r="H8" s="263"/>
      <c r="I8" s="34"/>
      <c r="J8" s="278"/>
      <c r="K8" s="35"/>
      <c r="L8" s="263"/>
      <c r="M8" s="34"/>
      <c r="N8" s="263"/>
      <c r="O8" s="34"/>
      <c r="P8" s="263"/>
      <c r="Q8" s="34"/>
      <c r="R8" s="278"/>
      <c r="S8" s="35"/>
    </row>
    <row r="9" spans="1:19" ht="15" customHeight="1" x14ac:dyDescent="0.25">
      <c r="A9" s="26">
        <v>6</v>
      </c>
      <c r="B9" s="37" t="s">
        <v>40</v>
      </c>
      <c r="C9" s="289"/>
      <c r="D9" s="263"/>
      <c r="E9" s="34"/>
      <c r="F9" s="263"/>
      <c r="G9" s="34"/>
      <c r="H9" s="263"/>
      <c r="I9" s="34"/>
      <c r="J9" s="278"/>
      <c r="K9" s="35"/>
      <c r="L9" s="263"/>
      <c r="M9" s="34"/>
      <c r="N9" s="263"/>
      <c r="O9" s="34"/>
      <c r="P9" s="263"/>
      <c r="Q9" s="34"/>
      <c r="R9" s="278"/>
      <c r="S9" s="35"/>
    </row>
    <row r="10" spans="1:19" ht="15" customHeight="1" x14ac:dyDescent="0.25">
      <c r="A10" s="26">
        <v>6</v>
      </c>
      <c r="B10" s="37" t="s">
        <v>41</v>
      </c>
      <c r="C10" s="289"/>
      <c r="D10" s="263"/>
      <c r="E10" s="34"/>
      <c r="F10" s="263"/>
      <c r="G10" s="34"/>
      <c r="H10" s="263"/>
      <c r="I10" s="34"/>
      <c r="J10" s="278"/>
      <c r="K10" s="35"/>
      <c r="L10" s="263"/>
      <c r="M10" s="34"/>
      <c r="N10" s="263"/>
      <c r="O10" s="34"/>
      <c r="P10" s="263"/>
      <c r="Q10" s="34"/>
      <c r="R10" s="278"/>
      <c r="S10" s="35"/>
    </row>
    <row r="11" spans="1:19" ht="15" customHeight="1" x14ac:dyDescent="0.25">
      <c r="A11" s="26">
        <v>4</v>
      </c>
      <c r="B11" s="38" t="s">
        <v>43</v>
      </c>
      <c r="C11" s="289"/>
      <c r="D11" s="263"/>
      <c r="E11" s="34"/>
      <c r="F11" s="263"/>
      <c r="G11" s="34"/>
      <c r="H11" s="263"/>
      <c r="I11" s="34"/>
      <c r="J11" s="278"/>
      <c r="K11" s="35"/>
      <c r="L11" s="263"/>
      <c r="M11" s="34"/>
      <c r="N11" s="263"/>
      <c r="O11" s="34"/>
      <c r="P11" s="263"/>
      <c r="Q11" s="34"/>
      <c r="R11" s="278"/>
      <c r="S11" s="35"/>
    </row>
    <row r="12" spans="1:19" ht="15" customHeight="1" x14ac:dyDescent="0.25">
      <c r="A12" s="26">
        <v>5</v>
      </c>
      <c r="B12" s="37" t="s">
        <v>44</v>
      </c>
      <c r="C12" s="289"/>
      <c r="D12" s="263"/>
      <c r="E12" s="34"/>
      <c r="F12" s="263"/>
      <c r="G12" s="34"/>
      <c r="H12" s="263"/>
      <c r="I12" s="34"/>
      <c r="J12" s="278"/>
      <c r="K12" s="35"/>
      <c r="L12" s="263"/>
      <c r="M12" s="34"/>
      <c r="N12" s="263"/>
      <c r="O12" s="34"/>
      <c r="P12" s="263"/>
      <c r="Q12" s="34"/>
      <c r="R12" s="278"/>
      <c r="S12" s="35"/>
    </row>
    <row r="13" spans="1:19" ht="15" customHeight="1" x14ac:dyDescent="0.25">
      <c r="A13" s="26">
        <v>3</v>
      </c>
      <c r="B13" s="37" t="s">
        <v>37</v>
      </c>
      <c r="C13" s="289"/>
      <c r="D13" s="263"/>
      <c r="E13" s="34"/>
      <c r="F13" s="263"/>
      <c r="G13" s="34"/>
      <c r="H13" s="263"/>
      <c r="I13" s="34"/>
      <c r="J13" s="278"/>
      <c r="K13" s="35"/>
      <c r="L13" s="263"/>
      <c r="M13" s="34"/>
      <c r="N13" s="263"/>
      <c r="O13" s="34"/>
      <c r="P13" s="263"/>
      <c r="Q13" s="34"/>
      <c r="R13" s="278"/>
      <c r="S13" s="35"/>
    </row>
    <row r="14" spans="1:19" ht="15" customHeight="1" x14ac:dyDescent="0.25">
      <c r="A14" s="26">
        <v>2</v>
      </c>
      <c r="B14" s="37" t="s">
        <v>39</v>
      </c>
      <c r="C14" s="289"/>
      <c r="D14" s="263"/>
      <c r="E14" s="34"/>
      <c r="F14" s="263"/>
      <c r="G14" s="34"/>
      <c r="H14" s="263"/>
      <c r="I14" s="34"/>
      <c r="J14" s="278"/>
      <c r="K14" s="35"/>
      <c r="L14" s="263"/>
      <c r="M14" s="34"/>
      <c r="N14" s="263"/>
      <c r="O14" s="34"/>
      <c r="P14" s="263"/>
      <c r="Q14" s="34"/>
      <c r="R14" s="278"/>
      <c r="S14" s="35"/>
    </row>
    <row r="15" spans="1:19" ht="15" customHeight="1" thickBot="1" x14ac:dyDescent="0.3">
      <c r="A15" s="26">
        <v>1</v>
      </c>
      <c r="B15" s="269" t="s">
        <v>42</v>
      </c>
      <c r="C15" s="290"/>
      <c r="D15" s="270"/>
      <c r="E15" s="271"/>
      <c r="F15" s="270"/>
      <c r="G15" s="271"/>
      <c r="H15" s="270"/>
      <c r="I15" s="271"/>
      <c r="J15" s="279"/>
      <c r="K15" s="272"/>
      <c r="L15" s="270"/>
      <c r="M15" s="271"/>
      <c r="N15" s="270"/>
      <c r="O15" s="271"/>
      <c r="P15" s="270"/>
      <c r="Q15" s="271"/>
      <c r="R15" s="279"/>
      <c r="S15" s="272"/>
    </row>
    <row r="16" spans="1:19" ht="15" customHeight="1" x14ac:dyDescent="0.25">
      <c r="A16" s="26"/>
      <c r="B16" s="273" t="s">
        <v>130</v>
      </c>
      <c r="C16" s="274"/>
      <c r="D16" s="275"/>
      <c r="E16" s="276"/>
      <c r="F16" s="275"/>
      <c r="G16" s="276"/>
      <c r="H16" s="275"/>
      <c r="I16" s="276"/>
      <c r="J16" s="275"/>
      <c r="K16" s="277"/>
      <c r="L16" s="275"/>
      <c r="M16" s="276"/>
      <c r="N16" s="275"/>
      <c r="O16" s="276"/>
      <c r="P16" s="275"/>
      <c r="Q16" s="276"/>
      <c r="R16" s="275"/>
      <c r="S16" s="277"/>
    </row>
    <row r="17" spans="1:19" x14ac:dyDescent="0.25">
      <c r="A17" s="24" t="s">
        <v>45</v>
      </c>
      <c r="B17" s="444" t="s">
        <v>46</v>
      </c>
      <c r="C17" s="444"/>
      <c r="D17" s="444"/>
      <c r="E17" s="444"/>
      <c r="F17" s="444"/>
      <c r="G17" s="444"/>
      <c r="H17" s="445"/>
      <c r="I17" s="445"/>
      <c r="J17" s="444"/>
      <c r="K17" s="444"/>
      <c r="L17" s="444"/>
      <c r="M17" s="444"/>
    </row>
    <row r="18" spans="1:19" ht="15" customHeight="1" x14ac:dyDescent="0.25">
      <c r="A18" s="24"/>
      <c r="B18" s="37" t="s">
        <v>50</v>
      </c>
      <c r="C18" s="289"/>
      <c r="D18" s="263"/>
      <c r="E18" s="34"/>
      <c r="F18" s="263"/>
      <c r="G18" s="34"/>
      <c r="H18" s="263"/>
      <c r="I18" s="34"/>
      <c r="J18" s="278"/>
      <c r="K18" s="35"/>
      <c r="L18" s="263"/>
      <c r="M18" s="34"/>
      <c r="N18" s="263"/>
      <c r="O18" s="34"/>
      <c r="P18" s="263"/>
      <c r="Q18" s="34"/>
      <c r="R18" s="278"/>
      <c r="S18" s="35"/>
    </row>
    <row r="19" spans="1:19" ht="15" customHeight="1" x14ac:dyDescent="0.25">
      <c r="A19" s="24"/>
      <c r="B19" s="37" t="s">
        <v>49</v>
      </c>
      <c r="C19" s="289"/>
      <c r="D19" s="263"/>
      <c r="E19" s="34"/>
      <c r="F19" s="263"/>
      <c r="G19" s="34"/>
      <c r="H19" s="263"/>
      <c r="I19" s="34"/>
      <c r="J19" s="278"/>
      <c r="K19" s="35"/>
      <c r="L19" s="263"/>
      <c r="M19" s="34"/>
      <c r="N19" s="263"/>
      <c r="O19" s="34"/>
      <c r="P19" s="263"/>
      <c r="Q19" s="34"/>
      <c r="R19" s="278"/>
      <c r="S19" s="35"/>
    </row>
    <row r="20" spans="1:19" ht="15" customHeight="1" x14ac:dyDescent="0.25">
      <c r="A20" s="24"/>
      <c r="B20" s="37" t="s">
        <v>48</v>
      </c>
      <c r="C20" s="289"/>
      <c r="D20" s="263"/>
      <c r="E20" s="34"/>
      <c r="F20" s="263"/>
      <c r="G20" s="34"/>
      <c r="H20" s="263"/>
      <c r="I20" s="34"/>
      <c r="J20" s="278"/>
      <c r="K20" s="35"/>
      <c r="L20" s="263"/>
      <c r="M20" s="34"/>
      <c r="N20" s="263"/>
      <c r="O20" s="34"/>
      <c r="P20" s="263"/>
      <c r="Q20" s="34"/>
      <c r="R20" s="278"/>
      <c r="S20" s="35"/>
    </row>
    <row r="21" spans="1:19" ht="15" customHeight="1" x14ac:dyDescent="0.25">
      <c r="A21" s="24"/>
      <c r="B21" s="37" t="s">
        <v>51</v>
      </c>
      <c r="C21" s="289"/>
      <c r="D21" s="263"/>
      <c r="E21" s="34"/>
      <c r="F21" s="263"/>
      <c r="G21" s="34"/>
      <c r="H21" s="263"/>
      <c r="I21" s="34"/>
      <c r="J21" s="278"/>
      <c r="K21" s="35"/>
      <c r="L21" s="263"/>
      <c r="M21" s="34"/>
      <c r="N21" s="263"/>
      <c r="O21" s="34"/>
      <c r="P21" s="263"/>
      <c r="Q21" s="34"/>
      <c r="R21" s="278"/>
      <c r="S21" s="35"/>
    </row>
    <row r="22" spans="1:19" ht="15" customHeight="1" x14ac:dyDescent="0.25">
      <c r="A22" s="24"/>
      <c r="B22" s="37" t="s">
        <v>52</v>
      </c>
      <c r="C22" s="289"/>
      <c r="D22" s="263"/>
      <c r="E22" s="34"/>
      <c r="F22" s="263"/>
      <c r="G22" s="34"/>
      <c r="H22" s="263"/>
      <c r="I22" s="34"/>
      <c r="J22" s="278"/>
      <c r="K22" s="35"/>
      <c r="L22" s="263"/>
      <c r="M22" s="34"/>
      <c r="N22" s="263"/>
      <c r="O22" s="34"/>
      <c r="P22" s="263"/>
      <c r="Q22" s="34"/>
      <c r="R22" s="278"/>
      <c r="S22" s="35"/>
    </row>
    <row r="23" spans="1:19" ht="31.5" customHeight="1" x14ac:dyDescent="0.25">
      <c r="A23" s="24"/>
      <c r="B23" s="37" t="s">
        <v>53</v>
      </c>
      <c r="C23" s="289"/>
      <c r="D23" s="263"/>
      <c r="E23" s="34"/>
      <c r="F23" s="263"/>
      <c r="G23" s="34"/>
      <c r="H23" s="263"/>
      <c r="I23" s="34"/>
      <c r="J23" s="278"/>
      <c r="K23" s="35"/>
      <c r="L23" s="263"/>
      <c r="M23" s="34"/>
      <c r="N23" s="263"/>
      <c r="O23" s="34"/>
      <c r="P23" s="263"/>
      <c r="Q23" s="34"/>
      <c r="R23" s="278"/>
      <c r="S23" s="35"/>
    </row>
    <row r="24" spans="1:19" ht="15" customHeight="1" x14ac:dyDescent="0.25">
      <c r="A24" s="24"/>
      <c r="B24" s="37" t="s">
        <v>47</v>
      </c>
      <c r="C24" s="289"/>
      <c r="D24" s="263"/>
      <c r="E24" s="34"/>
      <c r="F24" s="263"/>
      <c r="G24" s="34"/>
      <c r="H24" s="263"/>
      <c r="I24" s="34"/>
      <c r="J24" s="278"/>
      <c r="K24" s="35"/>
      <c r="L24" s="263"/>
      <c r="M24" s="34"/>
      <c r="N24" s="263"/>
      <c r="O24" s="34"/>
      <c r="P24" s="263"/>
      <c r="Q24" s="34"/>
      <c r="R24" s="278"/>
      <c r="S24" s="35"/>
    </row>
    <row r="25" spans="1:19" x14ac:dyDescent="0.25">
      <c r="A25" s="24"/>
      <c r="B25" s="444" t="s">
        <v>54</v>
      </c>
      <c r="C25" s="444"/>
      <c r="D25" s="444"/>
      <c r="E25" s="444"/>
      <c r="F25" s="444"/>
      <c r="G25" s="444"/>
      <c r="H25" s="445"/>
      <c r="I25" s="445"/>
      <c r="J25" s="444"/>
      <c r="K25" s="444"/>
      <c r="L25" s="444"/>
      <c r="M25" s="444"/>
    </row>
    <row r="26" spans="1:19" ht="15" customHeight="1" x14ac:dyDescent="0.25">
      <c r="A26" s="30" t="s">
        <v>55</v>
      </c>
      <c r="B26" s="37" t="s">
        <v>56</v>
      </c>
      <c r="C26" s="291"/>
      <c r="D26" s="265"/>
      <c r="E26" s="34"/>
      <c r="F26" s="265"/>
      <c r="G26" s="34"/>
      <c r="H26" s="265"/>
      <c r="I26" s="34"/>
      <c r="J26" s="278"/>
      <c r="K26" s="35"/>
      <c r="L26" s="265"/>
      <c r="M26" s="34"/>
      <c r="N26" s="265"/>
      <c r="O26" s="34"/>
      <c r="P26" s="265"/>
      <c r="Q26" s="34"/>
      <c r="R26" s="278"/>
      <c r="S26" s="35"/>
    </row>
    <row r="27" spans="1:19" x14ac:dyDescent="0.25">
      <c r="A27" s="24"/>
      <c r="B27" s="444" t="s">
        <v>57</v>
      </c>
      <c r="C27" s="444"/>
      <c r="D27" s="444"/>
      <c r="E27" s="444"/>
      <c r="F27" s="444"/>
      <c r="G27" s="444"/>
      <c r="H27" s="445"/>
      <c r="I27" s="445"/>
      <c r="J27" s="444"/>
      <c r="K27" s="444"/>
      <c r="L27" s="444"/>
      <c r="M27" s="444"/>
    </row>
    <row r="28" spans="1:19" ht="15" customHeight="1" x14ac:dyDescent="0.25">
      <c r="A28" s="30">
        <v>21</v>
      </c>
      <c r="B28" s="37" t="s">
        <v>58</v>
      </c>
      <c r="C28" s="291"/>
      <c r="D28" s="264"/>
      <c r="E28" s="34"/>
      <c r="F28" s="264"/>
      <c r="G28" s="34"/>
      <c r="H28" s="264"/>
      <c r="I28" s="34"/>
      <c r="J28" s="280"/>
      <c r="K28" s="35"/>
      <c r="L28" s="264"/>
      <c r="M28" s="34"/>
      <c r="N28" s="264"/>
      <c r="O28" s="34"/>
      <c r="P28" s="264"/>
      <c r="Q28" s="34"/>
      <c r="R28" s="278"/>
      <c r="S28" s="35"/>
    </row>
    <row r="29" spans="1:19" ht="35.25" customHeight="1" x14ac:dyDescent="0.25">
      <c r="A29" s="30">
        <v>10</v>
      </c>
      <c r="B29" s="37" t="s">
        <v>59</v>
      </c>
      <c r="C29" s="291"/>
      <c r="D29" s="264"/>
      <c r="E29" s="34"/>
      <c r="F29" s="264"/>
      <c r="G29" s="34"/>
      <c r="H29" s="264"/>
      <c r="I29" s="34"/>
      <c r="J29" s="280"/>
      <c r="K29" s="35"/>
      <c r="L29" s="264"/>
      <c r="M29" s="34"/>
      <c r="N29" s="264"/>
      <c r="O29" s="34"/>
      <c r="P29" s="264"/>
      <c r="Q29" s="34"/>
      <c r="R29" s="278"/>
      <c r="S29" s="35"/>
    </row>
    <row r="30" spans="1:19" ht="35.25" customHeight="1" x14ac:dyDescent="0.25">
      <c r="A30" s="30"/>
      <c r="B30" s="444" t="s">
        <v>136</v>
      </c>
      <c r="C30" s="444"/>
      <c r="D30" s="444"/>
      <c r="E30" s="444"/>
      <c r="F30" s="444"/>
      <c r="G30" s="444"/>
      <c r="H30" s="445"/>
      <c r="I30" s="445"/>
      <c r="J30" s="444"/>
      <c r="K30" s="444"/>
      <c r="L30" s="444"/>
      <c r="M30" s="444"/>
    </row>
    <row r="31" spans="1:19" ht="35.25" customHeight="1" x14ac:dyDescent="0.25">
      <c r="A31" s="30"/>
      <c r="B31" s="37" t="s">
        <v>112</v>
      </c>
      <c r="C31" s="291"/>
      <c r="D31" s="264"/>
      <c r="E31" s="34"/>
      <c r="F31" s="264"/>
      <c r="G31" s="34"/>
      <c r="H31" s="264"/>
      <c r="I31" s="34"/>
      <c r="J31" s="280"/>
      <c r="K31" s="35"/>
      <c r="L31" s="264"/>
      <c r="M31" s="34"/>
      <c r="N31" s="264"/>
      <c r="O31" s="34"/>
      <c r="P31" s="264"/>
      <c r="Q31" s="34"/>
      <c r="R31" s="278"/>
      <c r="S31" s="35"/>
    </row>
    <row r="32" spans="1:19" x14ac:dyDescent="0.25">
      <c r="A32" s="24"/>
      <c r="B32" s="444" t="s">
        <v>60</v>
      </c>
      <c r="C32" s="444"/>
      <c r="D32" s="444"/>
      <c r="E32" s="444"/>
      <c r="F32" s="444"/>
      <c r="G32" s="444"/>
      <c r="H32" s="445"/>
      <c r="I32" s="445"/>
      <c r="J32" s="444"/>
      <c r="K32" s="444"/>
      <c r="L32" s="444"/>
      <c r="M32" s="444"/>
    </row>
    <row r="33" spans="1:19" ht="15" customHeight="1" x14ac:dyDescent="0.25">
      <c r="A33" s="30">
        <v>8</v>
      </c>
      <c r="B33" s="37" t="s">
        <v>61</v>
      </c>
      <c r="C33" s="291"/>
      <c r="D33" s="265"/>
      <c r="E33" s="34"/>
      <c r="F33" s="265"/>
      <c r="G33" s="34"/>
      <c r="H33" s="265"/>
      <c r="I33" s="34"/>
      <c r="J33" s="278"/>
      <c r="K33" s="35"/>
      <c r="L33" s="265"/>
      <c r="M33" s="34"/>
      <c r="N33" s="265"/>
      <c r="O33" s="34"/>
      <c r="P33" s="265"/>
      <c r="Q33" s="34"/>
      <c r="R33" s="278"/>
      <c r="S33" s="35"/>
    </row>
    <row r="34" spans="1:19" ht="15" customHeight="1" x14ac:dyDescent="0.25">
      <c r="A34" s="26" t="s">
        <v>62</v>
      </c>
      <c r="B34" s="444" t="s">
        <v>63</v>
      </c>
      <c r="C34" s="444"/>
      <c r="D34" s="444"/>
      <c r="E34" s="444"/>
      <c r="F34" s="444"/>
      <c r="G34" s="444"/>
      <c r="H34" s="445"/>
      <c r="I34" s="445"/>
      <c r="J34" s="444"/>
      <c r="K34" s="444"/>
      <c r="L34" s="444"/>
      <c r="M34" s="444"/>
    </row>
    <row r="35" spans="1:19" ht="15" customHeight="1" x14ac:dyDescent="0.25">
      <c r="A35" s="26">
        <v>2</v>
      </c>
      <c r="B35" s="37" t="s">
        <v>64</v>
      </c>
      <c r="C35" s="289"/>
      <c r="D35" s="263"/>
      <c r="E35" s="34"/>
      <c r="F35" s="263"/>
      <c r="G35" s="34"/>
      <c r="H35" s="263"/>
      <c r="I35" s="34"/>
      <c r="J35" s="278"/>
      <c r="K35" s="35"/>
      <c r="L35" s="263"/>
      <c r="M35" s="34"/>
      <c r="N35" s="263"/>
      <c r="O35" s="34"/>
      <c r="P35" s="263"/>
      <c r="Q35" s="34"/>
      <c r="R35" s="278"/>
      <c r="S35" s="35"/>
    </row>
    <row r="36" spans="1:19" ht="15" customHeight="1" x14ac:dyDescent="0.25">
      <c r="A36" s="26">
        <v>1</v>
      </c>
      <c r="B36" s="37" t="s">
        <v>68</v>
      </c>
      <c r="C36" s="289"/>
      <c r="D36" s="263"/>
      <c r="E36" s="35"/>
      <c r="F36" s="263"/>
      <c r="G36" s="35"/>
      <c r="H36" s="263"/>
      <c r="I36" s="35"/>
      <c r="J36" s="278"/>
      <c r="K36" s="35"/>
      <c r="L36" s="263"/>
      <c r="M36" s="35"/>
      <c r="N36" s="263"/>
      <c r="O36" s="35"/>
      <c r="P36" s="263"/>
      <c r="Q36" s="35"/>
      <c r="R36" s="278"/>
      <c r="S36" s="35"/>
    </row>
    <row r="37" spans="1:19" ht="15" customHeight="1" x14ac:dyDescent="0.25">
      <c r="A37" s="26">
        <v>1</v>
      </c>
      <c r="B37" s="37" t="s">
        <v>65</v>
      </c>
      <c r="C37" s="289"/>
      <c r="D37" s="263"/>
      <c r="E37" s="34"/>
      <c r="F37" s="263"/>
      <c r="G37" s="34"/>
      <c r="H37" s="263"/>
      <c r="I37" s="34"/>
      <c r="J37" s="278"/>
      <c r="K37" s="35"/>
      <c r="L37" s="263"/>
      <c r="M37" s="34"/>
      <c r="N37" s="263"/>
      <c r="O37" s="34"/>
      <c r="P37" s="263"/>
      <c r="Q37" s="34"/>
      <c r="R37" s="278"/>
      <c r="S37" s="35"/>
    </row>
    <row r="38" spans="1:19" ht="15" customHeight="1" x14ac:dyDescent="0.25">
      <c r="A38" s="26">
        <v>3</v>
      </c>
      <c r="B38" s="37" t="s">
        <v>66</v>
      </c>
      <c r="C38" s="289"/>
      <c r="D38" s="263"/>
      <c r="E38" s="34"/>
      <c r="F38" s="263"/>
      <c r="G38" s="34"/>
      <c r="H38" s="263"/>
      <c r="I38" s="34"/>
      <c r="J38" s="278"/>
      <c r="K38" s="35"/>
      <c r="L38" s="263"/>
      <c r="M38" s="34"/>
      <c r="N38" s="263"/>
      <c r="O38" s="34"/>
      <c r="P38" s="263"/>
      <c r="Q38" s="34"/>
      <c r="R38" s="278"/>
      <c r="S38" s="35"/>
    </row>
    <row r="39" spans="1:19" ht="15" customHeight="1" x14ac:dyDescent="0.25">
      <c r="A39" s="26">
        <v>2</v>
      </c>
      <c r="B39" s="37" t="s">
        <v>67</v>
      </c>
      <c r="C39" s="289"/>
      <c r="D39" s="263"/>
      <c r="E39" s="34"/>
      <c r="F39" s="263"/>
      <c r="G39" s="34"/>
      <c r="H39" s="263"/>
      <c r="I39" s="34"/>
      <c r="J39" s="278"/>
      <c r="K39" s="35"/>
      <c r="L39" s="263"/>
      <c r="M39" s="34"/>
      <c r="N39" s="263"/>
      <c r="O39" s="34"/>
      <c r="P39" s="263"/>
      <c r="Q39" s="34"/>
      <c r="R39" s="278"/>
      <c r="S39" s="35"/>
    </row>
    <row r="40" spans="1:19" ht="15" customHeight="1" x14ac:dyDescent="0.25">
      <c r="A40" s="26">
        <v>2</v>
      </c>
      <c r="B40" s="37" t="s">
        <v>69</v>
      </c>
      <c r="C40" s="289"/>
      <c r="D40" s="263"/>
      <c r="E40" s="34"/>
      <c r="F40" s="263"/>
      <c r="G40" s="34"/>
      <c r="H40" s="263"/>
      <c r="I40" s="34"/>
      <c r="J40" s="278"/>
      <c r="K40" s="35"/>
      <c r="L40" s="263"/>
      <c r="M40" s="34"/>
      <c r="N40" s="263"/>
      <c r="O40" s="34"/>
      <c r="P40" s="263"/>
      <c r="Q40" s="34"/>
      <c r="R40" s="278"/>
      <c r="S40" s="35"/>
    </row>
    <row r="41" spans="1:19" ht="15" customHeight="1" x14ac:dyDescent="0.25">
      <c r="A41" s="26">
        <v>1</v>
      </c>
      <c r="B41" s="37" t="s">
        <v>70</v>
      </c>
      <c r="C41" s="289"/>
      <c r="D41" s="263"/>
      <c r="E41" s="34"/>
      <c r="F41" s="263"/>
      <c r="G41" s="34"/>
      <c r="H41" s="263"/>
      <c r="I41" s="34"/>
      <c r="J41" s="278"/>
      <c r="K41" s="35"/>
      <c r="L41" s="263"/>
      <c r="M41" s="34"/>
      <c r="N41" s="263"/>
      <c r="O41" s="34"/>
      <c r="P41" s="263"/>
      <c r="Q41" s="34"/>
      <c r="R41" s="278"/>
      <c r="S41" s="35"/>
    </row>
    <row r="42" spans="1:19" ht="15" customHeight="1" x14ac:dyDescent="0.25">
      <c r="A42" s="26" t="s">
        <v>71</v>
      </c>
      <c r="B42" s="37" t="s">
        <v>72</v>
      </c>
      <c r="C42" s="289"/>
      <c r="D42" s="263"/>
      <c r="E42" s="34"/>
      <c r="F42" s="263"/>
      <c r="G42" s="34"/>
      <c r="H42" s="263"/>
      <c r="I42" s="34"/>
      <c r="J42" s="278"/>
      <c r="K42" s="35"/>
      <c r="L42" s="263"/>
      <c r="M42" s="34"/>
      <c r="N42" s="263"/>
      <c r="O42" s="34"/>
      <c r="P42" s="263"/>
      <c r="Q42" s="34"/>
      <c r="R42" s="278"/>
      <c r="S42" s="35"/>
    </row>
    <row r="43" spans="1:19" x14ac:dyDescent="0.25">
      <c r="A43" s="27" t="s">
        <v>73</v>
      </c>
      <c r="B43" s="444" t="s">
        <v>74</v>
      </c>
      <c r="C43" s="444"/>
      <c r="D43" s="444"/>
      <c r="E43" s="444"/>
      <c r="F43" s="444"/>
      <c r="G43" s="444"/>
      <c r="H43" s="445"/>
      <c r="I43" s="445"/>
      <c r="J43" s="444"/>
      <c r="K43" s="444"/>
      <c r="L43" s="444"/>
      <c r="M43" s="444"/>
    </row>
    <row r="44" spans="1:19" ht="15" customHeight="1" x14ac:dyDescent="0.25">
      <c r="A44" s="26">
        <v>42</v>
      </c>
      <c r="B44" s="37" t="s">
        <v>75</v>
      </c>
      <c r="C44" s="292"/>
      <c r="D44" s="267"/>
      <c r="E44" s="34"/>
      <c r="F44" s="267"/>
      <c r="G44" s="34"/>
      <c r="H44" s="267"/>
      <c r="I44" s="34"/>
      <c r="J44" s="281"/>
      <c r="K44" s="35"/>
      <c r="L44" s="267"/>
      <c r="M44" s="34"/>
      <c r="N44" s="267"/>
      <c r="O44" s="34"/>
      <c r="P44" s="267"/>
      <c r="Q44" s="34"/>
      <c r="R44" s="278"/>
      <c r="S44" s="35"/>
    </row>
    <row r="45" spans="1:19" ht="15" customHeight="1" x14ac:dyDescent="0.25">
      <c r="A45" s="26">
        <v>31</v>
      </c>
      <c r="B45" s="37" t="s">
        <v>76</v>
      </c>
      <c r="C45" s="289"/>
      <c r="D45" s="263"/>
      <c r="E45" s="34"/>
      <c r="F45" s="263"/>
      <c r="G45" s="34"/>
      <c r="H45" s="263"/>
      <c r="I45" s="34"/>
      <c r="J45" s="278"/>
      <c r="K45" s="35"/>
      <c r="L45" s="263"/>
      <c r="M45" s="34"/>
      <c r="N45" s="263"/>
      <c r="O45" s="34"/>
      <c r="P45" s="263"/>
      <c r="Q45" s="34"/>
      <c r="R45" s="278"/>
      <c r="S45" s="35"/>
    </row>
    <row r="46" spans="1:19" ht="15" customHeight="1" x14ac:dyDescent="0.25">
      <c r="A46" s="26">
        <v>31</v>
      </c>
      <c r="B46" s="33" t="s">
        <v>77</v>
      </c>
      <c r="C46" s="289"/>
      <c r="D46" s="263"/>
      <c r="E46" s="34"/>
      <c r="F46" s="263"/>
      <c r="G46" s="34"/>
      <c r="H46" s="263"/>
      <c r="I46" s="34"/>
      <c r="J46" s="278"/>
      <c r="K46" s="35"/>
      <c r="L46" s="263"/>
      <c r="M46" s="34"/>
      <c r="N46" s="263"/>
      <c r="O46" s="34"/>
      <c r="P46" s="263"/>
      <c r="Q46" s="34"/>
      <c r="R46" s="278"/>
      <c r="S46" s="35"/>
    </row>
    <row r="47" spans="1:19" ht="15" customHeight="1" x14ac:dyDescent="0.25">
      <c r="A47" s="26">
        <v>5</v>
      </c>
      <c r="B47" s="33" t="s">
        <v>78</v>
      </c>
      <c r="C47" s="289"/>
      <c r="D47" s="263"/>
      <c r="E47" s="34"/>
      <c r="F47" s="263"/>
      <c r="G47" s="34"/>
      <c r="H47" s="263"/>
      <c r="I47" s="34"/>
      <c r="J47" s="278"/>
      <c r="K47" s="35"/>
      <c r="L47" s="263"/>
      <c r="M47" s="34"/>
      <c r="N47" s="263"/>
      <c r="O47" s="34"/>
      <c r="P47" s="263"/>
      <c r="Q47" s="34"/>
      <c r="R47" s="278"/>
      <c r="S47" s="35"/>
    </row>
    <row r="48" spans="1:19" ht="15" customHeight="1" x14ac:dyDescent="0.25">
      <c r="A48" s="26">
        <v>0.5</v>
      </c>
      <c r="B48" s="33" t="s">
        <v>79</v>
      </c>
      <c r="C48" s="289"/>
      <c r="D48" s="263"/>
      <c r="E48" s="34"/>
      <c r="F48" s="263"/>
      <c r="G48" s="34"/>
      <c r="H48" s="263"/>
      <c r="I48" s="34"/>
      <c r="J48" s="278"/>
      <c r="K48" s="35"/>
      <c r="L48" s="263"/>
      <c r="M48" s="34"/>
      <c r="N48" s="263"/>
      <c r="O48" s="34"/>
      <c r="P48" s="263"/>
      <c r="Q48" s="34"/>
      <c r="R48" s="278"/>
      <c r="S48" s="35"/>
    </row>
    <row r="49" spans="1:19" ht="15" customHeight="1" x14ac:dyDescent="0.25">
      <c r="A49" s="26">
        <v>1</v>
      </c>
      <c r="B49" s="33" t="s">
        <v>80</v>
      </c>
      <c r="C49" s="289"/>
      <c r="D49" s="263"/>
      <c r="E49" s="34"/>
      <c r="F49" s="263"/>
      <c r="G49" s="34"/>
      <c r="H49" s="263"/>
      <c r="I49" s="34"/>
      <c r="J49" s="278"/>
      <c r="K49" s="35"/>
      <c r="L49" s="263"/>
      <c r="M49" s="34"/>
      <c r="N49" s="263"/>
      <c r="O49" s="34"/>
      <c r="P49" s="263"/>
      <c r="Q49" s="34"/>
      <c r="R49" s="278"/>
      <c r="S49" s="35"/>
    </row>
    <row r="50" spans="1:19" ht="15" customHeight="1" x14ac:dyDescent="0.25">
      <c r="A50" s="26"/>
      <c r="B50" s="33" t="s">
        <v>111</v>
      </c>
      <c r="C50" s="289"/>
      <c r="D50" s="263"/>
      <c r="E50" s="34"/>
      <c r="F50" s="263"/>
      <c r="G50" s="34"/>
      <c r="H50" s="263"/>
      <c r="I50" s="34"/>
      <c r="J50" s="278"/>
      <c r="K50" s="35"/>
      <c r="L50" s="263"/>
      <c r="M50" s="34"/>
      <c r="N50" s="263"/>
      <c r="O50" s="34"/>
      <c r="P50" s="263"/>
      <c r="Q50" s="34"/>
      <c r="R50" s="278"/>
      <c r="S50" s="35"/>
    </row>
    <row r="51" spans="1:19" ht="15" customHeight="1" x14ac:dyDescent="0.25">
      <c r="A51" s="26">
        <v>57</v>
      </c>
      <c r="B51" s="33" t="s">
        <v>81</v>
      </c>
      <c r="C51" s="289"/>
      <c r="D51" s="263"/>
      <c r="E51" s="34"/>
      <c r="F51" s="263"/>
      <c r="G51" s="34"/>
      <c r="H51" s="263"/>
      <c r="I51" s="34"/>
      <c r="J51" s="278"/>
      <c r="K51" s="35"/>
      <c r="L51" s="263"/>
      <c r="M51" s="34"/>
      <c r="N51" s="263"/>
      <c r="O51" s="34"/>
      <c r="P51" s="263"/>
      <c r="Q51" s="34"/>
      <c r="R51" s="278"/>
      <c r="S51" s="35"/>
    </row>
    <row r="52" spans="1:19" ht="15" customHeight="1" x14ac:dyDescent="0.25">
      <c r="A52" s="23"/>
      <c r="B52" s="33" t="s">
        <v>82</v>
      </c>
      <c r="C52" s="289"/>
      <c r="D52" s="263"/>
      <c r="E52" s="34"/>
      <c r="F52" s="263"/>
      <c r="G52" s="34"/>
      <c r="H52" s="263"/>
      <c r="I52" s="34"/>
      <c r="J52" s="278"/>
      <c r="K52" s="35"/>
      <c r="L52" s="263"/>
      <c r="M52" s="34"/>
      <c r="N52" s="263"/>
      <c r="O52" s="34"/>
      <c r="P52" s="263"/>
      <c r="Q52" s="34"/>
      <c r="R52" s="278"/>
      <c r="S52" s="35"/>
    </row>
    <row r="53" spans="1:19" x14ac:dyDescent="0.25">
      <c r="B53" s="444" t="s">
        <v>83</v>
      </c>
      <c r="C53" s="444"/>
      <c r="D53" s="444"/>
      <c r="E53" s="444"/>
      <c r="F53" s="444"/>
      <c r="G53" s="444"/>
      <c r="H53" s="445"/>
      <c r="I53" s="445"/>
      <c r="J53" s="444"/>
      <c r="K53" s="444"/>
      <c r="L53" s="444"/>
      <c r="M53" s="444"/>
    </row>
    <row r="54" spans="1:19" ht="15" customHeight="1" x14ac:dyDescent="0.25">
      <c r="B54" s="51" t="s">
        <v>84</v>
      </c>
      <c r="C54" s="280"/>
      <c r="D54" s="266"/>
      <c r="E54" s="266"/>
      <c r="F54" s="266"/>
      <c r="G54" s="266"/>
      <c r="H54" s="266"/>
      <c r="I54" s="266"/>
      <c r="J54" s="280"/>
      <c r="K54" s="266"/>
      <c r="L54" s="266"/>
      <c r="M54" s="266"/>
      <c r="N54" s="266"/>
      <c r="O54" s="266"/>
      <c r="P54" s="266"/>
      <c r="Q54" s="266"/>
      <c r="R54" s="280"/>
      <c r="S54" s="266"/>
    </row>
    <row r="55" spans="1:19" ht="15" customHeight="1" x14ac:dyDescent="0.25">
      <c r="A55">
        <v>9</v>
      </c>
      <c r="B55" s="37" t="s">
        <v>85</v>
      </c>
      <c r="C55" s="293"/>
      <c r="D55" s="267"/>
      <c r="E55" s="34"/>
      <c r="F55" s="267"/>
      <c r="G55" s="34"/>
      <c r="H55" s="267"/>
      <c r="I55" s="34"/>
      <c r="J55" s="281"/>
      <c r="K55" s="35"/>
      <c r="L55" s="267"/>
      <c r="M55" s="34"/>
      <c r="N55" s="267"/>
      <c r="O55" s="34"/>
      <c r="P55" s="267"/>
      <c r="Q55" s="34"/>
      <c r="R55" s="278"/>
      <c r="S55" s="35"/>
    </row>
    <row r="56" spans="1:19" ht="15" customHeight="1" x14ac:dyDescent="0.25">
      <c r="A56">
        <v>9</v>
      </c>
      <c r="B56" s="37" t="s">
        <v>86</v>
      </c>
      <c r="C56" s="293"/>
      <c r="D56" s="267"/>
      <c r="E56" s="34"/>
      <c r="F56" s="267"/>
      <c r="G56" s="34"/>
      <c r="H56" s="267"/>
      <c r="I56" s="34"/>
      <c r="J56" s="281"/>
      <c r="K56" s="35"/>
      <c r="L56" s="267"/>
      <c r="M56" s="34"/>
      <c r="N56" s="267"/>
      <c r="O56" s="34"/>
      <c r="P56" s="267"/>
      <c r="Q56" s="34"/>
      <c r="R56" s="278"/>
      <c r="S56" s="35"/>
    </row>
    <row r="57" spans="1:19" ht="15" customHeight="1" x14ac:dyDescent="0.25">
      <c r="A57">
        <v>54</v>
      </c>
      <c r="B57" s="37" t="s">
        <v>87</v>
      </c>
      <c r="C57" s="293"/>
      <c r="D57" s="267"/>
      <c r="E57" s="34"/>
      <c r="F57" s="267"/>
      <c r="G57" s="34"/>
      <c r="H57" s="267"/>
      <c r="I57" s="34"/>
      <c r="J57" s="281"/>
      <c r="K57" s="35"/>
      <c r="L57" s="267"/>
      <c r="M57" s="34"/>
      <c r="N57" s="267"/>
      <c r="O57" s="34"/>
      <c r="P57" s="267"/>
      <c r="Q57" s="34"/>
      <c r="R57" s="278"/>
      <c r="S57" s="35"/>
    </row>
    <row r="58" spans="1:19" ht="15" customHeight="1" x14ac:dyDescent="0.25">
      <c r="A58" t="s">
        <v>88</v>
      </c>
      <c r="B58" s="37" t="s">
        <v>89</v>
      </c>
      <c r="C58" s="293"/>
      <c r="D58" s="267"/>
      <c r="E58" s="34"/>
      <c r="F58" s="267"/>
      <c r="G58" s="34"/>
      <c r="H58" s="267"/>
      <c r="I58" s="34"/>
      <c r="J58" s="281"/>
      <c r="K58" s="35"/>
      <c r="L58" s="267"/>
      <c r="M58" s="34"/>
      <c r="N58" s="267"/>
      <c r="O58" s="34"/>
      <c r="P58" s="267"/>
      <c r="Q58" s="34"/>
      <c r="R58" s="278"/>
      <c r="S58" s="35"/>
    </row>
    <row r="59" spans="1:19" ht="15" customHeight="1" x14ac:dyDescent="0.25">
      <c r="B59" s="37" t="s">
        <v>90</v>
      </c>
      <c r="C59" s="293"/>
      <c r="D59" s="267"/>
      <c r="E59" s="34"/>
      <c r="F59" s="267"/>
      <c r="G59" s="34"/>
      <c r="H59" s="267"/>
      <c r="I59" s="34"/>
      <c r="J59" s="281"/>
      <c r="K59" s="35"/>
      <c r="L59" s="267"/>
      <c r="M59" s="34"/>
      <c r="N59" s="267"/>
      <c r="O59" s="34"/>
      <c r="P59" s="267"/>
      <c r="Q59" s="34"/>
      <c r="R59" s="278"/>
      <c r="S59" s="35"/>
    </row>
    <row r="60" spans="1:19" ht="15" customHeight="1" x14ac:dyDescent="0.25">
      <c r="A60">
        <v>4</v>
      </c>
      <c r="B60" s="37" t="s">
        <v>75</v>
      </c>
      <c r="C60" s="293"/>
      <c r="D60" s="267"/>
      <c r="E60" s="34"/>
      <c r="F60" s="267"/>
      <c r="G60" s="34"/>
      <c r="H60" s="267"/>
      <c r="I60" s="34"/>
      <c r="J60" s="281"/>
      <c r="K60" s="35"/>
      <c r="L60" s="267"/>
      <c r="M60" s="34"/>
      <c r="N60" s="267"/>
      <c r="O60" s="34"/>
      <c r="P60" s="267"/>
      <c r="Q60" s="34"/>
      <c r="R60" s="278"/>
      <c r="S60" s="35"/>
    </row>
    <row r="61" spans="1:19" ht="15" customHeight="1" x14ac:dyDescent="0.25">
      <c r="A61">
        <v>4</v>
      </c>
      <c r="B61" s="37" t="s">
        <v>76</v>
      </c>
      <c r="C61" s="293"/>
      <c r="D61" s="267"/>
      <c r="E61" s="34"/>
      <c r="F61" s="267"/>
      <c r="G61" s="34"/>
      <c r="H61" s="267"/>
      <c r="I61" s="34"/>
      <c r="J61" s="281"/>
      <c r="K61" s="35"/>
      <c r="L61" s="267"/>
      <c r="M61" s="34"/>
      <c r="N61" s="267"/>
      <c r="O61" s="34"/>
      <c r="P61" s="267"/>
      <c r="Q61" s="34"/>
      <c r="R61" s="278"/>
      <c r="S61" s="35"/>
    </row>
    <row r="62" spans="1:19" ht="15" customHeight="1" x14ac:dyDescent="0.25">
      <c r="A62">
        <v>4</v>
      </c>
      <c r="B62" s="37" t="s">
        <v>77</v>
      </c>
      <c r="C62" s="293"/>
      <c r="D62" s="267"/>
      <c r="E62" s="34"/>
      <c r="F62" s="267"/>
      <c r="G62" s="34"/>
      <c r="H62" s="267"/>
      <c r="I62" s="34"/>
      <c r="J62" s="281"/>
      <c r="K62" s="35"/>
      <c r="L62" s="267"/>
      <c r="M62" s="34"/>
      <c r="N62" s="267"/>
      <c r="O62" s="34"/>
      <c r="P62" s="267"/>
      <c r="Q62" s="34"/>
      <c r="R62" s="278"/>
      <c r="S62" s="35"/>
    </row>
    <row r="63" spans="1:19" ht="15" customHeight="1" x14ac:dyDescent="0.25">
      <c r="A63">
        <v>3</v>
      </c>
      <c r="B63" s="37" t="s">
        <v>78</v>
      </c>
      <c r="C63" s="293"/>
      <c r="D63" s="267"/>
      <c r="E63" s="34"/>
      <c r="F63" s="267"/>
      <c r="G63" s="34"/>
      <c r="H63" s="267"/>
      <c r="I63" s="34"/>
      <c r="J63" s="281"/>
      <c r="K63" s="35"/>
      <c r="L63" s="267"/>
      <c r="M63" s="34"/>
      <c r="N63" s="267"/>
      <c r="O63" s="34"/>
      <c r="P63" s="267"/>
      <c r="Q63" s="34"/>
      <c r="R63" s="278"/>
      <c r="S63" s="35"/>
    </row>
    <row r="64" spans="1:19" ht="15" customHeight="1" x14ac:dyDescent="0.25">
      <c r="A64" t="s">
        <v>91</v>
      </c>
      <c r="B64" s="37" t="s">
        <v>92</v>
      </c>
      <c r="C64" s="293"/>
      <c r="D64" s="267"/>
      <c r="E64" s="34"/>
      <c r="F64" s="267"/>
      <c r="G64" s="34"/>
      <c r="H64" s="267"/>
      <c r="I64" s="34"/>
      <c r="J64" s="281"/>
      <c r="K64" s="35"/>
      <c r="L64" s="267"/>
      <c r="M64" s="34"/>
      <c r="N64" s="267"/>
      <c r="O64" s="34"/>
      <c r="P64" s="267"/>
      <c r="Q64" s="34"/>
      <c r="R64" s="278"/>
      <c r="S64" s="35"/>
    </row>
    <row r="65" spans="1:19" s="283" customFormat="1" ht="31.5" customHeight="1" x14ac:dyDescent="0.25">
      <c r="B65" s="37" t="s">
        <v>93</v>
      </c>
      <c r="C65" s="294"/>
      <c r="D65" s="284"/>
      <c r="E65" s="34"/>
      <c r="F65" s="284"/>
      <c r="G65" s="34"/>
      <c r="H65" s="284"/>
      <c r="I65" s="34"/>
      <c r="J65" s="285"/>
      <c r="K65" s="35"/>
      <c r="L65" s="284"/>
      <c r="M65" s="34"/>
      <c r="N65" s="284"/>
      <c r="O65" s="34"/>
      <c r="P65" s="284"/>
      <c r="Q65" s="34"/>
      <c r="R65" s="278"/>
      <c r="S65" s="35"/>
    </row>
    <row r="66" spans="1:19" ht="15" customHeight="1" x14ac:dyDescent="0.25">
      <c r="B66" s="446" t="s">
        <v>94</v>
      </c>
      <c r="C66" s="447"/>
      <c r="D66" s="447"/>
      <c r="E66" s="447"/>
      <c r="F66" s="447"/>
      <c r="G66" s="447"/>
      <c r="H66" s="448"/>
      <c r="I66" s="448"/>
      <c r="J66" s="447"/>
      <c r="K66" s="447"/>
      <c r="L66" s="447"/>
      <c r="M66" s="449"/>
    </row>
    <row r="67" spans="1:19" ht="15" customHeight="1" x14ac:dyDescent="0.25">
      <c r="A67" t="s">
        <v>95</v>
      </c>
      <c r="B67" s="36" t="s">
        <v>96</v>
      </c>
      <c r="C67" s="293"/>
      <c r="D67" s="268"/>
      <c r="E67" s="268"/>
      <c r="F67" s="268"/>
      <c r="G67" s="268"/>
      <c r="H67" s="268"/>
      <c r="I67" s="268"/>
      <c r="J67" s="282"/>
      <c r="K67" s="268"/>
      <c r="L67" s="268"/>
      <c r="M67" s="268"/>
      <c r="N67" s="268"/>
      <c r="O67" s="268"/>
      <c r="P67" s="268"/>
      <c r="Q67" s="268"/>
      <c r="R67" s="282"/>
      <c r="S67" s="268"/>
    </row>
    <row r="68" spans="1:19" ht="15" customHeight="1" x14ac:dyDescent="0.25">
      <c r="A68" t="s">
        <v>97</v>
      </c>
      <c r="B68" s="36" t="s">
        <v>98</v>
      </c>
      <c r="C68" s="293"/>
      <c r="D68" s="268"/>
      <c r="E68" s="268"/>
      <c r="F68" s="268"/>
      <c r="G68" s="268"/>
      <c r="H68" s="268"/>
      <c r="I68" s="268"/>
      <c r="J68" s="282"/>
      <c r="K68" s="268"/>
      <c r="L68" s="268"/>
      <c r="M68" s="268"/>
      <c r="N68" s="268"/>
      <c r="O68" s="268"/>
      <c r="P68" s="268"/>
      <c r="Q68" s="268"/>
      <c r="R68" s="282"/>
      <c r="S68" s="268"/>
    </row>
    <row r="69" spans="1:19" x14ac:dyDescent="0.25">
      <c r="A69" t="s">
        <v>99</v>
      </c>
      <c r="B69" s="444" t="s">
        <v>100</v>
      </c>
      <c r="C69" s="444"/>
      <c r="D69" s="444"/>
      <c r="E69" s="444"/>
      <c r="F69" s="444"/>
      <c r="G69" s="444"/>
      <c r="H69" s="445"/>
      <c r="I69" s="445"/>
      <c r="J69" s="444"/>
      <c r="K69" s="444"/>
      <c r="L69" s="444"/>
      <c r="M69" s="444"/>
    </row>
    <row r="70" spans="1:19" ht="15" customHeight="1" x14ac:dyDescent="0.25">
      <c r="A70" t="s">
        <v>101</v>
      </c>
      <c r="B70" s="37" t="s">
        <v>102</v>
      </c>
      <c r="C70" s="289"/>
      <c r="D70" s="263"/>
      <c r="E70" s="34"/>
      <c r="F70" s="263"/>
      <c r="G70" s="34"/>
      <c r="H70" s="263"/>
      <c r="I70" s="34"/>
      <c r="J70" s="278"/>
      <c r="K70" s="35"/>
      <c r="L70" s="263"/>
      <c r="M70" s="34"/>
      <c r="N70" s="263"/>
      <c r="O70" s="34"/>
      <c r="P70" s="263"/>
      <c r="Q70" s="34"/>
      <c r="R70" s="278"/>
      <c r="S70" s="35"/>
    </row>
    <row r="71" spans="1:19" ht="15" customHeight="1" x14ac:dyDescent="0.25">
      <c r="A71">
        <v>1</v>
      </c>
      <c r="B71" s="37" t="s">
        <v>103</v>
      </c>
      <c r="C71" s="289"/>
      <c r="D71" s="263"/>
      <c r="E71" s="34"/>
      <c r="F71" s="263"/>
      <c r="G71" s="34"/>
      <c r="H71" s="263"/>
      <c r="I71" s="34"/>
      <c r="J71" s="278"/>
      <c r="K71" s="35"/>
      <c r="L71" s="263"/>
      <c r="M71" s="34"/>
      <c r="N71" s="263"/>
      <c r="O71" s="34"/>
      <c r="P71" s="263"/>
      <c r="Q71" s="34"/>
      <c r="R71" s="278"/>
      <c r="S71" s="35"/>
    </row>
    <row r="72" spans="1:19" ht="15" customHeight="1" x14ac:dyDescent="0.25">
      <c r="A72">
        <v>1</v>
      </c>
      <c r="B72" s="38" t="s">
        <v>104</v>
      </c>
      <c r="C72" s="289"/>
      <c r="D72" s="263"/>
      <c r="E72" s="34"/>
      <c r="F72" s="263"/>
      <c r="G72" s="34"/>
      <c r="H72" s="263"/>
      <c r="I72" s="34"/>
      <c r="J72" s="278"/>
      <c r="K72" s="35"/>
      <c r="L72" s="263"/>
      <c r="M72" s="34"/>
      <c r="N72" s="263"/>
      <c r="O72" s="34"/>
      <c r="P72" s="263"/>
      <c r="Q72" s="34"/>
      <c r="R72" s="278"/>
      <c r="S72" s="35"/>
    </row>
    <row r="73" spans="1:19" ht="15" customHeight="1" x14ac:dyDescent="0.25">
      <c r="A73">
        <v>2</v>
      </c>
      <c r="B73" s="37" t="s">
        <v>105</v>
      </c>
      <c r="C73" s="289"/>
      <c r="D73" s="263"/>
      <c r="E73" s="34"/>
      <c r="F73" s="263"/>
      <c r="G73" s="34"/>
      <c r="H73" s="263"/>
      <c r="I73" s="34"/>
      <c r="J73" s="278"/>
      <c r="K73" s="35"/>
      <c r="L73" s="263"/>
      <c r="M73" s="34"/>
      <c r="N73" s="263"/>
      <c r="O73" s="34"/>
      <c r="P73" s="263"/>
      <c r="Q73" s="34"/>
      <c r="R73" s="278"/>
      <c r="S73" s="35"/>
    </row>
    <row r="74" spans="1:19" ht="15" customHeight="1" x14ac:dyDescent="0.25">
      <c r="A74">
        <v>2</v>
      </c>
      <c r="B74" s="37" t="s">
        <v>106</v>
      </c>
      <c r="C74" s="289"/>
      <c r="D74" s="263"/>
      <c r="E74" s="34"/>
      <c r="F74" s="263"/>
      <c r="G74" s="34"/>
      <c r="H74" s="263"/>
      <c r="I74" s="34"/>
      <c r="J74" s="278"/>
      <c r="K74" s="35"/>
      <c r="L74" s="263"/>
      <c r="M74" s="34"/>
      <c r="N74" s="263"/>
      <c r="O74" s="34"/>
      <c r="P74" s="263"/>
      <c r="Q74" s="34"/>
      <c r="R74" s="278"/>
      <c r="S74" s="35"/>
    </row>
    <row r="75" spans="1:19" ht="15" customHeight="1" x14ac:dyDescent="0.25">
      <c r="A75">
        <v>1</v>
      </c>
      <c r="B75" s="38" t="s">
        <v>107</v>
      </c>
      <c r="C75" s="289"/>
      <c r="D75" s="263"/>
      <c r="E75" s="34"/>
      <c r="F75" s="263"/>
      <c r="G75" s="34"/>
      <c r="H75" s="263"/>
      <c r="I75" s="34"/>
      <c r="J75" s="278"/>
      <c r="K75" s="35"/>
      <c r="L75" s="263"/>
      <c r="M75" s="34"/>
      <c r="N75" s="263"/>
      <c r="O75" s="34"/>
      <c r="P75" s="263"/>
      <c r="Q75" s="34"/>
      <c r="R75" s="278"/>
      <c r="S75" s="35"/>
    </row>
    <row r="76" spans="1:19" ht="15" customHeight="1" x14ac:dyDescent="0.25">
      <c r="A76">
        <v>1</v>
      </c>
      <c r="B76" s="37" t="s">
        <v>108</v>
      </c>
      <c r="C76" s="289"/>
      <c r="D76" s="263"/>
      <c r="E76" s="34"/>
      <c r="F76" s="263"/>
      <c r="G76" s="34"/>
      <c r="H76" s="263"/>
      <c r="I76" s="34"/>
      <c r="J76" s="278"/>
      <c r="K76" s="35"/>
      <c r="L76" s="263"/>
      <c r="M76" s="34"/>
      <c r="N76" s="263"/>
      <c r="O76" s="34"/>
      <c r="P76" s="263"/>
      <c r="Q76" s="34"/>
      <c r="R76" s="278"/>
      <c r="S76" s="35"/>
    </row>
    <row r="77" spans="1:19" x14ac:dyDescent="0.25">
      <c r="A77" s="28" t="s">
        <v>109</v>
      </c>
      <c r="B77" s="24"/>
      <c r="C77" s="218"/>
      <c r="D77" s="26"/>
      <c r="E77" s="26"/>
      <c r="F77" s="26"/>
      <c r="G77" s="26"/>
      <c r="H77" s="26"/>
      <c r="I77" s="26"/>
      <c r="J77" s="218"/>
      <c r="K77" s="26"/>
      <c r="L77" s="26"/>
      <c r="M77" s="26"/>
      <c r="N77" s="26"/>
      <c r="O77" s="26"/>
      <c r="P77" s="26"/>
      <c r="Q77" s="26"/>
      <c r="R77" s="218"/>
      <c r="S77" s="2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848" t="s">
        <v>232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O2" s="849"/>
      <c r="P2" s="849"/>
    </row>
    <row r="3" spans="1:16" x14ac:dyDescent="0.25">
      <c r="A3" s="134" t="s">
        <v>16</v>
      </c>
      <c r="B3" s="135">
        <v>42339</v>
      </c>
      <c r="C3" s="136">
        <v>42370</v>
      </c>
      <c r="D3" s="135">
        <v>42401</v>
      </c>
      <c r="E3" s="136">
        <v>42430</v>
      </c>
      <c r="F3" s="135">
        <v>42461</v>
      </c>
      <c r="G3" s="136">
        <v>42491</v>
      </c>
      <c r="H3" s="135">
        <v>42522</v>
      </c>
      <c r="I3" s="136">
        <v>42552</v>
      </c>
      <c r="J3" s="135">
        <v>42583</v>
      </c>
      <c r="K3" s="136">
        <v>42614</v>
      </c>
      <c r="L3" s="136">
        <v>42644</v>
      </c>
      <c r="M3" s="136">
        <v>42675</v>
      </c>
      <c r="N3" s="308"/>
      <c r="O3" s="137"/>
      <c r="P3" s="137"/>
    </row>
    <row r="4" spans="1:16" ht="30" x14ac:dyDescent="0.25">
      <c r="A4" s="138" t="s">
        <v>19</v>
      </c>
      <c r="B4" s="139"/>
      <c r="C4" s="140"/>
      <c r="D4" s="139"/>
      <c r="E4" s="141">
        <v>20</v>
      </c>
      <c r="F4" s="142">
        <v>20</v>
      </c>
      <c r="G4" s="142">
        <v>20</v>
      </c>
      <c r="H4" s="142">
        <v>20</v>
      </c>
      <c r="I4" s="142">
        <v>40</v>
      </c>
      <c r="J4" s="143">
        <v>20</v>
      </c>
      <c r="K4" s="142">
        <v>20</v>
      </c>
      <c r="L4" s="142">
        <v>20</v>
      </c>
      <c r="M4" s="142">
        <v>20</v>
      </c>
      <c r="O4" s="144"/>
      <c r="P4" s="137"/>
    </row>
    <row r="5" spans="1:16" ht="30" x14ac:dyDescent="0.25">
      <c r="A5" s="138" t="s">
        <v>20</v>
      </c>
      <c r="B5" s="139"/>
      <c r="C5" s="140"/>
      <c r="D5" s="139"/>
      <c r="E5" s="142">
        <v>40</v>
      </c>
      <c r="F5" s="145"/>
      <c r="G5" s="145"/>
      <c r="H5" s="142">
        <v>40</v>
      </c>
      <c r="I5" s="146"/>
      <c r="J5" s="139"/>
      <c r="K5" s="142">
        <v>40</v>
      </c>
      <c r="L5" s="147"/>
      <c r="M5" s="147"/>
    </row>
    <row r="6" spans="1:16" ht="25.5" customHeight="1" x14ac:dyDescent="0.25">
      <c r="A6" s="138" t="s">
        <v>21</v>
      </c>
      <c r="B6" s="139"/>
      <c r="C6" s="140"/>
      <c r="D6" s="139"/>
      <c r="E6" s="140"/>
      <c r="F6" s="139"/>
      <c r="G6" s="140"/>
      <c r="H6" s="139"/>
      <c r="I6" s="146"/>
      <c r="J6" s="148">
        <v>60</v>
      </c>
      <c r="K6" s="140"/>
      <c r="L6" s="147"/>
      <c r="M6" s="147"/>
    </row>
    <row r="7" spans="1:16" ht="45" x14ac:dyDescent="0.25">
      <c r="A7" s="138" t="s">
        <v>22</v>
      </c>
      <c r="B7" s="139"/>
      <c r="C7" s="140"/>
      <c r="D7" s="139"/>
      <c r="E7" s="140"/>
      <c r="F7" s="139"/>
      <c r="G7" s="148">
        <v>60</v>
      </c>
      <c r="H7" s="139"/>
      <c r="I7" s="146"/>
      <c r="J7" s="139"/>
      <c r="K7" s="140"/>
      <c r="L7" s="147"/>
      <c r="M7" s="142">
        <v>60</v>
      </c>
    </row>
    <row r="8" spans="1:16" ht="45" x14ac:dyDescent="0.25">
      <c r="A8" s="138" t="s">
        <v>23</v>
      </c>
      <c r="B8" s="139"/>
      <c r="C8" s="140"/>
      <c r="D8" s="139"/>
      <c r="E8" s="140"/>
      <c r="F8" s="148">
        <v>60</v>
      </c>
      <c r="G8" s="140"/>
      <c r="H8" s="139"/>
      <c r="I8" s="148">
        <v>40</v>
      </c>
      <c r="J8" s="139"/>
      <c r="K8" s="140"/>
      <c r="L8" s="142">
        <v>60</v>
      </c>
      <c r="M8" s="147"/>
    </row>
    <row r="9" spans="1:16" ht="30" x14ac:dyDescent="0.25">
      <c r="A9" s="138" t="s">
        <v>24</v>
      </c>
      <c r="B9" s="139"/>
      <c r="C9" s="140"/>
      <c r="D9" s="139"/>
      <c r="E9" s="148">
        <v>20</v>
      </c>
      <c r="F9" s="139"/>
      <c r="G9" s="140"/>
      <c r="H9" s="148">
        <v>40</v>
      </c>
      <c r="I9" s="146"/>
      <c r="J9" s="139"/>
      <c r="K9" s="142">
        <v>40</v>
      </c>
      <c r="L9" s="147"/>
      <c r="M9" s="147"/>
    </row>
    <row r="10" spans="1:16" ht="30" x14ac:dyDescent="0.25">
      <c r="A10" s="138" t="s">
        <v>25</v>
      </c>
      <c r="B10" s="139"/>
      <c r="C10" s="140"/>
      <c r="D10" s="139"/>
      <c r="E10" s="148">
        <v>20</v>
      </c>
      <c r="F10" s="139"/>
      <c r="G10" s="148">
        <v>20</v>
      </c>
      <c r="H10" s="139"/>
      <c r="I10" s="146"/>
      <c r="J10" s="148">
        <v>20</v>
      </c>
      <c r="K10" s="140"/>
      <c r="L10" s="147"/>
      <c r="M10" s="142">
        <v>20</v>
      </c>
    </row>
    <row r="11" spans="1:16" x14ac:dyDescent="0.25">
      <c r="A11" s="138" t="s">
        <v>26</v>
      </c>
      <c r="B11" s="139"/>
      <c r="C11" s="140"/>
      <c r="D11" s="139"/>
      <c r="E11" s="149"/>
      <c r="F11" s="148">
        <v>20</v>
      </c>
      <c r="G11" s="149"/>
      <c r="H11" s="150"/>
      <c r="I11" s="148">
        <v>20</v>
      </c>
      <c r="J11" s="150"/>
      <c r="K11" s="149"/>
      <c r="L11" s="151">
        <v>20</v>
      </c>
      <c r="M11" s="152"/>
    </row>
    <row r="12" spans="1:16" x14ac:dyDescent="0.25">
      <c r="A12" s="153" t="s">
        <v>2</v>
      </c>
      <c r="B12" s="154"/>
      <c r="C12" s="155"/>
      <c r="D12" s="154"/>
      <c r="E12" s="142">
        <f t="shared" ref="E12:M12" si="0">SUM(E4:E11)</f>
        <v>100</v>
      </c>
      <c r="F12" s="142">
        <f t="shared" si="0"/>
        <v>100</v>
      </c>
      <c r="G12" s="142">
        <f t="shared" si="0"/>
        <v>100</v>
      </c>
      <c r="H12" s="142">
        <f t="shared" si="0"/>
        <v>100</v>
      </c>
      <c r="I12" s="142">
        <f t="shared" si="0"/>
        <v>100</v>
      </c>
      <c r="J12" s="142">
        <f t="shared" si="0"/>
        <v>100</v>
      </c>
      <c r="K12" s="142">
        <f t="shared" si="0"/>
        <v>100</v>
      </c>
      <c r="L12" s="142">
        <f t="shared" si="0"/>
        <v>100</v>
      </c>
      <c r="M12" s="142">
        <f t="shared" si="0"/>
        <v>100</v>
      </c>
    </row>
    <row r="14" spans="1:16" x14ac:dyDescent="0.25">
      <c r="B14" s="156"/>
    </row>
    <row r="15" spans="1:16" x14ac:dyDescent="0.25">
      <c r="A15" s="336" t="s">
        <v>123</v>
      </c>
      <c r="B15" s="462">
        <v>99345757.459999993</v>
      </c>
    </row>
    <row r="16" spans="1:16" x14ac:dyDescent="0.25">
      <c r="A16" s="336" t="s">
        <v>124</v>
      </c>
      <c r="B16" s="463">
        <f>B15/12</f>
        <v>8278813.1216666661</v>
      </c>
    </row>
    <row r="17" spans="1:11" x14ac:dyDescent="0.25">
      <c r="A17" s="336" t="s">
        <v>125</v>
      </c>
      <c r="B17" s="462">
        <f>B15*5%</f>
        <v>4967287.8729999997</v>
      </c>
    </row>
    <row r="18" spans="1:11" x14ac:dyDescent="0.25">
      <c r="A18" s="336" t="s">
        <v>126</v>
      </c>
      <c r="B18" s="462">
        <f>B17/12</f>
        <v>413940.65608333331</v>
      </c>
    </row>
    <row r="19" spans="1:11" x14ac:dyDescent="0.25">
      <c r="A19" s="157"/>
      <c r="B19" s="158"/>
    </row>
    <row r="20" spans="1:11" ht="15.75" thickBot="1" x14ac:dyDescent="0.3">
      <c r="A20" s="159" t="s">
        <v>127</v>
      </c>
    </row>
    <row r="21" spans="1:11" x14ac:dyDescent="0.25">
      <c r="A21" s="160" t="s">
        <v>16</v>
      </c>
      <c r="B21" s="161">
        <v>42339</v>
      </c>
      <c r="C21" s="162">
        <v>42370</v>
      </c>
      <c r="D21" s="161">
        <v>42401</v>
      </c>
      <c r="E21" s="162">
        <v>42430</v>
      </c>
      <c r="F21" s="161">
        <v>42461</v>
      </c>
      <c r="G21" s="162">
        <v>42491</v>
      </c>
      <c r="H21" s="161">
        <v>42522</v>
      </c>
      <c r="I21" s="161">
        <v>42186</v>
      </c>
      <c r="J21" s="161">
        <v>42217</v>
      </c>
      <c r="K21" s="163" t="s">
        <v>128</v>
      </c>
    </row>
    <row r="22" spans="1:11" ht="30" x14ac:dyDescent="0.25">
      <c r="A22" s="164" t="s">
        <v>19</v>
      </c>
      <c r="B22" s="141">
        <v>82788.13</v>
      </c>
      <c r="C22" s="141">
        <f>B18*20%</f>
        <v>82788.131216666661</v>
      </c>
      <c r="D22" s="141">
        <f>B18*20%</f>
        <v>82788.131216666661</v>
      </c>
      <c r="E22" s="141">
        <v>82788</v>
      </c>
      <c r="F22" s="141">
        <f>B18*40%</f>
        <v>165576.26243333332</v>
      </c>
      <c r="G22" s="165">
        <v>82788</v>
      </c>
      <c r="H22" s="165">
        <v>82788</v>
      </c>
      <c r="I22" s="165">
        <v>82788</v>
      </c>
      <c r="J22" s="165">
        <v>82788</v>
      </c>
      <c r="K22" s="166">
        <v>1</v>
      </c>
    </row>
    <row r="23" spans="1:11" ht="30" x14ac:dyDescent="0.25">
      <c r="A23" s="164" t="s">
        <v>20</v>
      </c>
      <c r="B23" s="141">
        <v>165576.26243333332</v>
      </c>
      <c r="C23" s="145"/>
      <c r="D23" s="145"/>
      <c r="E23" s="141">
        <v>165576.26243333332</v>
      </c>
      <c r="F23" s="146"/>
      <c r="G23" s="139"/>
      <c r="H23" s="141">
        <v>165576.26243333332</v>
      </c>
      <c r="I23" s="147"/>
      <c r="J23" s="147"/>
      <c r="K23" s="166">
        <v>0.9</v>
      </c>
    </row>
    <row r="24" spans="1:11" x14ac:dyDescent="0.25">
      <c r="A24" s="164" t="s">
        <v>21</v>
      </c>
      <c r="B24" s="140"/>
      <c r="C24" s="139"/>
      <c r="D24" s="140"/>
      <c r="E24" s="139"/>
      <c r="F24" s="146"/>
      <c r="G24" s="167">
        <f>B18*60%</f>
        <v>248364.39364999998</v>
      </c>
      <c r="H24" s="140"/>
      <c r="I24" s="147"/>
      <c r="J24" s="147"/>
      <c r="K24" s="166">
        <v>1</v>
      </c>
    </row>
    <row r="25" spans="1:11" ht="45" x14ac:dyDescent="0.25">
      <c r="A25" s="164" t="s">
        <v>22</v>
      </c>
      <c r="B25" s="140"/>
      <c r="C25" s="139"/>
      <c r="D25" s="167">
        <v>248364</v>
      </c>
      <c r="E25" s="139"/>
      <c r="F25" s="146"/>
      <c r="G25" s="139"/>
      <c r="H25" s="140"/>
      <c r="I25" s="147"/>
      <c r="J25" s="141">
        <v>248364</v>
      </c>
      <c r="K25" s="166">
        <v>0.9</v>
      </c>
    </row>
    <row r="26" spans="1:11" ht="45" x14ac:dyDescent="0.25">
      <c r="A26" s="164" t="s">
        <v>23</v>
      </c>
      <c r="B26" s="140"/>
      <c r="C26" s="167">
        <v>248364</v>
      </c>
      <c r="D26" s="140"/>
      <c r="E26" s="139"/>
      <c r="F26" s="141">
        <v>165576.26243333332</v>
      </c>
      <c r="G26" s="139"/>
      <c r="H26" s="140"/>
      <c r="I26" s="167">
        <v>248364</v>
      </c>
      <c r="J26" s="147"/>
      <c r="K26" s="166">
        <v>0.75</v>
      </c>
    </row>
    <row r="27" spans="1:11" ht="30" x14ac:dyDescent="0.25">
      <c r="A27" s="164" t="s">
        <v>24</v>
      </c>
      <c r="B27" s="165">
        <v>82788</v>
      </c>
      <c r="C27" s="139"/>
      <c r="D27" s="140"/>
      <c r="E27" s="141">
        <v>165576.26243333332</v>
      </c>
      <c r="F27" s="146"/>
      <c r="G27" s="139"/>
      <c r="H27" s="141">
        <v>165576.26243333332</v>
      </c>
      <c r="I27" s="147"/>
      <c r="J27" s="147"/>
      <c r="K27" s="166">
        <v>0.75</v>
      </c>
    </row>
    <row r="28" spans="1:11" ht="45" x14ac:dyDescent="0.25">
      <c r="A28" s="164" t="s">
        <v>25</v>
      </c>
      <c r="B28" s="165">
        <v>82788</v>
      </c>
      <c r="C28" s="139"/>
      <c r="D28" s="165">
        <v>82788</v>
      </c>
      <c r="E28" s="139"/>
      <c r="F28" s="146"/>
      <c r="G28" s="165">
        <v>82788</v>
      </c>
      <c r="H28" s="140"/>
      <c r="I28" s="147"/>
      <c r="J28" s="165">
        <v>82788</v>
      </c>
      <c r="K28" s="168" t="s">
        <v>129</v>
      </c>
    </row>
    <row r="29" spans="1:11" x14ac:dyDescent="0.25">
      <c r="A29" s="164" t="s">
        <v>26</v>
      </c>
      <c r="B29" s="149"/>
      <c r="C29" s="165">
        <v>82788</v>
      </c>
      <c r="D29" s="149"/>
      <c r="E29" s="150"/>
      <c r="F29" s="165">
        <v>82788</v>
      </c>
      <c r="G29" s="150"/>
      <c r="H29" s="149"/>
      <c r="I29" s="165">
        <v>82788</v>
      </c>
      <c r="J29" s="147"/>
      <c r="K29" s="166">
        <v>0.8</v>
      </c>
    </row>
    <row r="30" spans="1:11" ht="15.75" thickBot="1" x14ac:dyDescent="0.3">
      <c r="A30" s="169" t="s">
        <v>2</v>
      </c>
      <c r="B30" s="170">
        <f t="shared" ref="B30:J30" si="1">SUM(B22:B29)</f>
        <v>413940.39243333333</v>
      </c>
      <c r="C30" s="170">
        <f t="shared" si="1"/>
        <v>413940.13121666666</v>
      </c>
      <c r="D30" s="170">
        <f t="shared" si="1"/>
        <v>413940.13121666666</v>
      </c>
      <c r="E30" s="170">
        <f t="shared" si="1"/>
        <v>413940.52486666664</v>
      </c>
      <c r="F30" s="170">
        <f t="shared" si="1"/>
        <v>413940.52486666664</v>
      </c>
      <c r="G30" s="170">
        <f t="shared" si="1"/>
        <v>413940.39364999998</v>
      </c>
      <c r="H30" s="170">
        <f t="shared" si="1"/>
        <v>413940.52486666664</v>
      </c>
      <c r="I30" s="170">
        <f t="shared" si="1"/>
        <v>413940</v>
      </c>
      <c r="J30" s="170">
        <f t="shared" si="1"/>
        <v>413940</v>
      </c>
      <c r="K30" s="171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R16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8.7109375" customWidth="1"/>
    <col min="7" max="7" width="9" bestFit="1" customWidth="1"/>
    <col min="8" max="8" width="11.140625" bestFit="1" customWidth="1"/>
    <col min="9" max="9" width="9.7109375" customWidth="1"/>
    <col min="10" max="10" width="12.28515625" bestFit="1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10.28515625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340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" x14ac:dyDescent="0.25">
      <c r="A6" s="465" t="s">
        <v>8</v>
      </c>
      <c r="B6" s="466" t="s">
        <v>9</v>
      </c>
      <c r="C6" s="465" t="str">
        <f>'UBS Vila Dalva 1° SEM'!C6</f>
        <v>JAN</v>
      </c>
      <c r="D6" s="467" t="str">
        <f>'UBS Vila Dalva 1° SEM'!D6</f>
        <v>%</v>
      </c>
      <c r="E6" s="465" t="str">
        <f>'UBS Vila Dalva 1° SEM'!E6</f>
        <v>FEV</v>
      </c>
      <c r="F6" s="467" t="str">
        <f>'UBS Vila Dalva 1° SEM'!F6</f>
        <v>%</v>
      </c>
      <c r="G6" s="465" t="str">
        <f>'UBS Vila Dalva 1° SEM'!G6</f>
        <v>MAR</v>
      </c>
      <c r="H6" s="467" t="str">
        <f>'UBS Vila Dalva 1° SEM'!H6</f>
        <v>%</v>
      </c>
      <c r="I6" s="468" t="str">
        <f>'UBS Vila Dalva 1° SEM'!I6</f>
        <v>Trimestre</v>
      </c>
      <c r="J6" s="468" t="str">
        <f>'UBS Vila Dalva 1° SEM'!J6</f>
        <v>%</v>
      </c>
      <c r="K6" s="465" t="str">
        <f>'UBS Vila Dalva 1° SEM'!K6</f>
        <v>ABR</v>
      </c>
      <c r="L6" s="467" t="str">
        <f>'UBS Vila Dalva 1° SEM'!L6</f>
        <v>%</v>
      </c>
      <c r="M6" s="465" t="str">
        <f>'UBS Vila Dalva 1° SEM'!M6</f>
        <v>MAI</v>
      </c>
      <c r="N6" s="467" t="str">
        <f>'UBS Vila Dalva 1° SEM'!N6</f>
        <v>%</v>
      </c>
      <c r="O6" s="465" t="str">
        <f>'UBS Vila Dalva 1° SEM'!O6</f>
        <v>JUN</v>
      </c>
      <c r="P6" s="467" t="str">
        <f>'UBS Vila Dalva 1° SEM'!P6</f>
        <v>%</v>
      </c>
      <c r="Q6" s="468" t="str">
        <f>'UBS Vila Dalva 1° SEM'!Q6</f>
        <v>Trimestre</v>
      </c>
      <c r="R6" s="468" t="str">
        <f>'UBS Vila Dalva 1° SEM'!R6</f>
        <v>%</v>
      </c>
    </row>
    <row r="7" spans="1:18" x14ac:dyDescent="0.25">
      <c r="A7" s="310" t="s">
        <v>158</v>
      </c>
      <c r="B7" s="315">
        <v>7200</v>
      </c>
      <c r="C7" s="311">
        <v>6768</v>
      </c>
      <c r="D7" s="314">
        <f>((C7/$B7))-1</f>
        <v>-6.0000000000000053E-2</v>
      </c>
      <c r="E7" s="311">
        <v>5976</v>
      </c>
      <c r="F7" s="314">
        <f>((E7/$B7))-1</f>
        <v>-0.17000000000000004</v>
      </c>
      <c r="G7" s="311">
        <v>6818</v>
      </c>
      <c r="H7" s="314">
        <f>((G7/$B7))-1</f>
        <v>-5.3055555555555522E-2</v>
      </c>
      <c r="I7" s="313">
        <f t="shared" ref="I7:I15" si="0">C7+E7+G7</f>
        <v>19562</v>
      </c>
      <c r="J7" s="318">
        <f>((I7/(3*$B7)))-1</f>
        <v>-9.4351851851851798E-2</v>
      </c>
      <c r="K7" s="311">
        <v>6382</v>
      </c>
      <c r="L7" s="314">
        <f>((K7/$B7))-1</f>
        <v>-0.11361111111111111</v>
      </c>
      <c r="M7" s="311">
        <v>7727</v>
      </c>
      <c r="N7" s="314">
        <f>((M7/$B7))-1</f>
        <v>7.319444444444434E-2</v>
      </c>
      <c r="O7" s="311">
        <v>6905</v>
      </c>
      <c r="P7" s="314">
        <f>((O7/$B7))-1</f>
        <v>-4.0972222222222188E-2</v>
      </c>
      <c r="Q7" s="313">
        <f t="shared" ref="Q7:Q16" si="1">K7+M7+O7</f>
        <v>21014</v>
      </c>
      <c r="R7" s="318">
        <f>((Q7/(3*$B7)))-1</f>
        <v>-2.7129629629629615E-2</v>
      </c>
    </row>
    <row r="8" spans="1:18" x14ac:dyDescent="0.25">
      <c r="A8" s="310" t="s">
        <v>159</v>
      </c>
      <c r="B8" s="315">
        <v>2496</v>
      </c>
      <c r="C8" s="311">
        <v>2527</v>
      </c>
      <c r="D8" s="314">
        <f t="shared" ref="D8:D15" si="2">((C8/$B8))-1</f>
        <v>1.2419871794871806E-2</v>
      </c>
      <c r="E8" s="311">
        <v>1977</v>
      </c>
      <c r="F8" s="314">
        <f t="shared" ref="F8:F15" si="3">((E8/$B8))-1</f>
        <v>-0.20793269230769229</v>
      </c>
      <c r="G8" s="311">
        <v>2843</v>
      </c>
      <c r="H8" s="314">
        <f t="shared" ref="H8:H15" si="4">((G8/$B8))-1</f>
        <v>0.1390224358974359</v>
      </c>
      <c r="I8" s="313">
        <f t="shared" si="0"/>
        <v>7347</v>
      </c>
      <c r="J8" s="318">
        <f t="shared" ref="J8:J15" si="5">((I8/(3*$B8)))-1</f>
        <v>-1.8830128205128194E-2</v>
      </c>
      <c r="K8" s="311">
        <v>2090</v>
      </c>
      <c r="L8" s="314">
        <f t="shared" ref="L8:L15" si="6">((K8/$B8))-1</f>
        <v>-0.16266025641025639</v>
      </c>
      <c r="M8" s="311">
        <v>2799</v>
      </c>
      <c r="N8" s="314">
        <f t="shared" ref="N8:N15" si="7">((M8/$B8))-1</f>
        <v>0.12139423076923084</v>
      </c>
      <c r="O8" s="311">
        <v>2473</v>
      </c>
      <c r="P8" s="314">
        <f t="shared" ref="P8:P16" si="8">((O8/$B8))-1</f>
        <v>-9.2147435897436125E-3</v>
      </c>
      <c r="Q8" s="313">
        <f t="shared" si="1"/>
        <v>7362</v>
      </c>
      <c r="R8" s="318">
        <f t="shared" ref="R8:R15" si="9">((Q8/(3*$B8)))-1</f>
        <v>-1.6826923076923128E-2</v>
      </c>
    </row>
    <row r="9" spans="1:18" x14ac:dyDescent="0.25">
      <c r="A9" s="310" t="s">
        <v>171</v>
      </c>
      <c r="B9" s="315">
        <v>936</v>
      </c>
      <c r="C9" s="311">
        <v>1015</v>
      </c>
      <c r="D9" s="314">
        <f t="shared" si="2"/>
        <v>8.4401709401709324E-2</v>
      </c>
      <c r="E9" s="311">
        <v>1112</v>
      </c>
      <c r="F9" s="314">
        <f t="shared" si="3"/>
        <v>0.18803418803418803</v>
      </c>
      <c r="G9" s="311">
        <v>1310</v>
      </c>
      <c r="H9" s="314">
        <f t="shared" si="4"/>
        <v>0.39957264957264949</v>
      </c>
      <c r="I9" s="313">
        <f t="shared" si="0"/>
        <v>3437</v>
      </c>
      <c r="J9" s="318">
        <f t="shared" si="5"/>
        <v>0.22400284900284895</v>
      </c>
      <c r="K9" s="311">
        <v>1098</v>
      </c>
      <c r="L9" s="314">
        <f t="shared" si="6"/>
        <v>0.17307692307692313</v>
      </c>
      <c r="M9" s="311">
        <v>1440</v>
      </c>
      <c r="N9" s="314">
        <f t="shared" si="7"/>
        <v>0.53846153846153855</v>
      </c>
      <c r="O9" s="311">
        <v>1375</v>
      </c>
      <c r="P9" s="314">
        <f t="shared" si="8"/>
        <v>0.46901709401709413</v>
      </c>
      <c r="Q9" s="313">
        <f t="shared" si="1"/>
        <v>3913</v>
      </c>
      <c r="R9" s="318">
        <f t="shared" si="9"/>
        <v>0.3935185185185186</v>
      </c>
    </row>
    <row r="10" spans="1:18" ht="24" x14ac:dyDescent="0.25">
      <c r="A10" s="464" t="s">
        <v>200</v>
      </c>
      <c r="B10" s="315">
        <v>384</v>
      </c>
      <c r="C10" s="311">
        <v>341</v>
      </c>
      <c r="D10" s="314">
        <f t="shared" si="2"/>
        <v>-0.11197916666666663</v>
      </c>
      <c r="E10" s="311">
        <v>360</v>
      </c>
      <c r="F10" s="314">
        <f t="shared" si="3"/>
        <v>-6.25E-2</v>
      </c>
      <c r="G10" s="311">
        <v>389</v>
      </c>
      <c r="H10" s="314">
        <f t="shared" si="4"/>
        <v>1.3020833333333259E-2</v>
      </c>
      <c r="I10" s="313">
        <f>C10+E10+G10</f>
        <v>1090</v>
      </c>
      <c r="J10" s="318">
        <f t="shared" si="5"/>
        <v>-5.381944444444442E-2</v>
      </c>
      <c r="K10" s="311">
        <v>182</v>
      </c>
      <c r="L10" s="314">
        <f t="shared" si="6"/>
        <v>-0.52604166666666674</v>
      </c>
      <c r="M10" s="311">
        <v>196</v>
      </c>
      <c r="N10" s="314">
        <f t="shared" si="7"/>
        <v>-0.48958333333333337</v>
      </c>
      <c r="O10" s="311">
        <v>375</v>
      </c>
      <c r="P10" s="314">
        <f t="shared" si="8"/>
        <v>-2.34375E-2</v>
      </c>
      <c r="Q10" s="313">
        <f t="shared" si="1"/>
        <v>753</v>
      </c>
      <c r="R10" s="318">
        <f t="shared" si="9"/>
        <v>-0.34635416666666663</v>
      </c>
    </row>
    <row r="11" spans="1:18" x14ac:dyDescent="0.25">
      <c r="A11" s="464" t="s">
        <v>203</v>
      </c>
      <c r="B11" s="315">
        <v>1344</v>
      </c>
      <c r="C11" s="311">
        <v>991</v>
      </c>
      <c r="D11" s="314">
        <f t="shared" si="2"/>
        <v>-0.26264880952380953</v>
      </c>
      <c r="E11" s="311">
        <v>1013</v>
      </c>
      <c r="F11" s="314">
        <f t="shared" si="3"/>
        <v>-0.24627976190476186</v>
      </c>
      <c r="G11" s="311">
        <v>1461</v>
      </c>
      <c r="H11" s="314">
        <f t="shared" si="4"/>
        <v>8.7053571428571397E-2</v>
      </c>
      <c r="I11" s="313">
        <f t="shared" si="0"/>
        <v>3465</v>
      </c>
      <c r="J11" s="318">
        <f t="shared" si="5"/>
        <v>-0.140625</v>
      </c>
      <c r="K11" s="311">
        <v>1005</v>
      </c>
      <c r="L11" s="314">
        <f t="shared" si="6"/>
        <v>-0.2522321428571429</v>
      </c>
      <c r="M11" s="311">
        <v>1160</v>
      </c>
      <c r="N11" s="314">
        <f t="shared" si="7"/>
        <v>-0.13690476190476186</v>
      </c>
      <c r="O11" s="311">
        <v>1330</v>
      </c>
      <c r="P11" s="314">
        <f t="shared" si="8"/>
        <v>-1.041666666666663E-2</v>
      </c>
      <c r="Q11" s="313">
        <f t="shared" si="1"/>
        <v>3495</v>
      </c>
      <c r="R11" s="318">
        <f t="shared" si="9"/>
        <v>-0.13318452380952384</v>
      </c>
    </row>
    <row r="12" spans="1:18" ht="24" x14ac:dyDescent="0.25">
      <c r="A12" s="464" t="s">
        <v>201</v>
      </c>
      <c r="B12" s="315">
        <v>96</v>
      </c>
      <c r="C12" s="311">
        <v>76</v>
      </c>
      <c r="D12" s="314">
        <f t="shared" si="2"/>
        <v>-0.20833333333333337</v>
      </c>
      <c r="E12" s="311">
        <v>90</v>
      </c>
      <c r="F12" s="314">
        <f t="shared" si="3"/>
        <v>-6.25E-2</v>
      </c>
      <c r="G12" s="311">
        <v>28</v>
      </c>
      <c r="H12" s="314">
        <f t="shared" si="4"/>
        <v>-0.70833333333333326</v>
      </c>
      <c r="I12" s="313">
        <f t="shared" si="0"/>
        <v>194</v>
      </c>
      <c r="J12" s="318">
        <f t="shared" si="5"/>
        <v>-0.32638888888888884</v>
      </c>
      <c r="K12" s="311">
        <v>57</v>
      </c>
      <c r="L12" s="314">
        <f t="shared" si="6"/>
        <v>-0.40625</v>
      </c>
      <c r="M12" s="311">
        <v>109</v>
      </c>
      <c r="N12" s="314">
        <f t="shared" si="7"/>
        <v>0.13541666666666674</v>
      </c>
      <c r="O12" s="311">
        <v>97</v>
      </c>
      <c r="P12" s="314">
        <f t="shared" si="8"/>
        <v>1.0416666666666741E-2</v>
      </c>
      <c r="Q12" s="313">
        <f t="shared" si="1"/>
        <v>263</v>
      </c>
      <c r="R12" s="318">
        <f t="shared" si="9"/>
        <v>-8.680555555555558E-2</v>
      </c>
    </row>
    <row r="13" spans="1:18" x14ac:dyDescent="0.25">
      <c r="A13" s="310" t="s">
        <v>176</v>
      </c>
      <c r="B13" s="315">
        <v>336</v>
      </c>
      <c r="C13" s="311">
        <v>93</v>
      </c>
      <c r="D13" s="314">
        <f t="shared" si="2"/>
        <v>-0.7232142857142857</v>
      </c>
      <c r="E13" s="311">
        <v>103</v>
      </c>
      <c r="F13" s="314">
        <f t="shared" si="3"/>
        <v>-0.69345238095238093</v>
      </c>
      <c r="G13" s="311">
        <v>113</v>
      </c>
      <c r="H13" s="314">
        <f t="shared" si="4"/>
        <v>-0.66369047619047616</v>
      </c>
      <c r="I13" s="313">
        <f t="shared" si="0"/>
        <v>309</v>
      </c>
      <c r="J13" s="318">
        <f t="shared" si="5"/>
        <v>-0.69345238095238093</v>
      </c>
      <c r="K13" s="311">
        <v>275</v>
      </c>
      <c r="L13" s="314">
        <f t="shared" si="6"/>
        <v>-0.18154761904761907</v>
      </c>
      <c r="M13" s="311">
        <v>291</v>
      </c>
      <c r="N13" s="314">
        <f t="shared" si="7"/>
        <v>-0.1339285714285714</v>
      </c>
      <c r="O13" s="311">
        <v>604</v>
      </c>
      <c r="P13" s="314">
        <f t="shared" si="8"/>
        <v>0.79761904761904767</v>
      </c>
      <c r="Q13" s="313">
        <f t="shared" si="1"/>
        <v>1170</v>
      </c>
      <c r="R13" s="318">
        <f t="shared" si="9"/>
        <v>0.16071428571428581</v>
      </c>
    </row>
    <row r="14" spans="1:18" x14ac:dyDescent="0.25">
      <c r="A14" s="310" t="s">
        <v>162</v>
      </c>
      <c r="B14" s="315">
        <v>263</v>
      </c>
      <c r="C14" s="311">
        <v>0</v>
      </c>
      <c r="D14" s="314">
        <f t="shared" si="2"/>
        <v>-1</v>
      </c>
      <c r="E14" s="311">
        <v>0</v>
      </c>
      <c r="F14" s="314">
        <f>((E14/$B14))-1</f>
        <v>-1</v>
      </c>
      <c r="G14" s="311">
        <v>0</v>
      </c>
      <c r="H14" s="314">
        <f>((G14/$B14))-1</f>
        <v>-1</v>
      </c>
      <c r="I14" s="313">
        <f t="shared" si="0"/>
        <v>0</v>
      </c>
      <c r="J14" s="318">
        <f t="shared" si="5"/>
        <v>-1</v>
      </c>
      <c r="K14" s="311">
        <v>0</v>
      </c>
      <c r="L14" s="314">
        <f t="shared" si="6"/>
        <v>-1</v>
      </c>
      <c r="M14" s="311">
        <v>0</v>
      </c>
      <c r="N14" s="314">
        <f t="shared" si="7"/>
        <v>-1</v>
      </c>
      <c r="O14" s="311">
        <v>0</v>
      </c>
      <c r="P14" s="314">
        <f t="shared" si="8"/>
        <v>-1</v>
      </c>
      <c r="Q14" s="313">
        <f t="shared" si="1"/>
        <v>0</v>
      </c>
      <c r="R14" s="318">
        <f t="shared" si="9"/>
        <v>-1</v>
      </c>
    </row>
    <row r="15" spans="1:18" x14ac:dyDescent="0.25">
      <c r="A15" s="310" t="s">
        <v>204</v>
      </c>
      <c r="B15" s="315">
        <v>166</v>
      </c>
      <c r="C15" s="311">
        <v>22</v>
      </c>
      <c r="D15" s="314">
        <f t="shared" si="2"/>
        <v>-0.86746987951807231</v>
      </c>
      <c r="E15" s="311">
        <v>173</v>
      </c>
      <c r="F15" s="314">
        <f t="shared" si="3"/>
        <v>4.2168674698795261E-2</v>
      </c>
      <c r="G15" s="311">
        <v>145</v>
      </c>
      <c r="H15" s="314">
        <f t="shared" si="4"/>
        <v>-0.12650602409638556</v>
      </c>
      <c r="I15" s="313">
        <f t="shared" si="0"/>
        <v>340</v>
      </c>
      <c r="J15" s="318">
        <f t="shared" si="5"/>
        <v>-0.31726907630522083</v>
      </c>
      <c r="K15" s="311">
        <v>133</v>
      </c>
      <c r="L15" s="314">
        <f t="shared" si="6"/>
        <v>-0.1987951807228916</v>
      </c>
      <c r="M15" s="311">
        <v>166</v>
      </c>
      <c r="N15" s="314">
        <f t="shared" si="7"/>
        <v>0</v>
      </c>
      <c r="O15" s="311">
        <v>120</v>
      </c>
      <c r="P15" s="314">
        <f t="shared" si="8"/>
        <v>-0.27710843373493976</v>
      </c>
      <c r="Q15" s="313">
        <f t="shared" si="1"/>
        <v>419</v>
      </c>
      <c r="R15" s="318">
        <f t="shared" si="9"/>
        <v>-0.15863453815261042</v>
      </c>
    </row>
    <row r="16" spans="1:18" x14ac:dyDescent="0.25">
      <c r="A16" s="470" t="s">
        <v>2</v>
      </c>
      <c r="B16" s="315">
        <f>SUM(B7:B15)</f>
        <v>13221</v>
      </c>
      <c r="C16" s="471">
        <f>SUM(C7:C15)</f>
        <v>11833</v>
      </c>
      <c r="D16" s="314">
        <f>((C16/$B16))-1</f>
        <v>-0.10498449436502533</v>
      </c>
      <c r="E16" s="471">
        <f>SUM(E7:E15)</f>
        <v>10804</v>
      </c>
      <c r="F16" s="314">
        <f>((E16/$B16))-1</f>
        <v>-0.18281521821344826</v>
      </c>
      <c r="G16" s="471">
        <f>SUM(G7:G15)</f>
        <v>13107</v>
      </c>
      <c r="H16" s="314">
        <f>((G16/$B16))-1</f>
        <v>-8.6226457907874199E-3</v>
      </c>
      <c r="I16" s="313">
        <f>C16+E16+G16</f>
        <v>35744</v>
      </c>
      <c r="J16" s="318">
        <f>((I16/(3*$B16)))-1</f>
        <v>-9.8807452789753669E-2</v>
      </c>
      <c r="K16" s="471">
        <f>SUM(K7:K15)</f>
        <v>11222</v>
      </c>
      <c r="L16" s="314">
        <f>((K16/$B16))-1</f>
        <v>-0.15119885031389457</v>
      </c>
      <c r="M16" s="471">
        <f>SUM(M7:M15)</f>
        <v>13888</v>
      </c>
      <c r="N16" s="314">
        <f>((M16/$B16))-1</f>
        <v>5.0450041600484052E-2</v>
      </c>
      <c r="O16" s="471">
        <f>SUM(O7:O15)</f>
        <v>13279</v>
      </c>
      <c r="P16" s="314">
        <f t="shared" si="8"/>
        <v>4.3869601391726132E-3</v>
      </c>
      <c r="Q16" s="313">
        <f t="shared" si="1"/>
        <v>38389</v>
      </c>
      <c r="R16" s="318">
        <f>((Q16/(3*$B16)))-1</f>
        <v>-3.2120616191412599E-2</v>
      </c>
    </row>
  </sheetData>
  <mergeCells count="3"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69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2DBA-5DE7-45A2-8AEA-2B44E1203F22}">
  <sheetPr>
    <tabColor rgb="FF7030A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9.7109375" customWidth="1"/>
    <col min="10" max="10" width="11.140625" bestFit="1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10.28515625" customWidth="1"/>
    <col min="18" max="18" width="11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340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" x14ac:dyDescent="0.25">
      <c r="A6" s="465" t="s">
        <v>8</v>
      </c>
      <c r="B6" s="466" t="s">
        <v>9</v>
      </c>
      <c r="C6" s="465" t="s">
        <v>382</v>
      </c>
      <c r="D6" s="467" t="str">
        <f>'UBS Vila Dalva 2º SEM'!D6</f>
        <v>%</v>
      </c>
      <c r="E6" s="465" t="s">
        <v>381</v>
      </c>
      <c r="F6" s="467" t="str">
        <f>'UBS Vila Dalva 2º SEM'!F6</f>
        <v>%</v>
      </c>
      <c r="G6" s="465" t="s">
        <v>380</v>
      </c>
      <c r="H6" s="467" t="str">
        <f>'UBS Vila Dalva 2º SEM'!H6</f>
        <v>%</v>
      </c>
      <c r="I6" s="468" t="str">
        <f>'UBS Vila Dalva 2º SEM'!I6</f>
        <v>Trimestre</v>
      </c>
      <c r="J6" s="468" t="str">
        <f>'UBS Vila Dalva 2º SEM'!J6</f>
        <v>%</v>
      </c>
      <c r="K6" s="465" t="s">
        <v>379</v>
      </c>
      <c r="L6" s="467" t="str">
        <f>'UBS Vila Dalva 2º SEM'!L6</f>
        <v>%</v>
      </c>
      <c r="M6" s="465" t="s">
        <v>378</v>
      </c>
      <c r="N6" s="467" t="str">
        <f>'UBS Vila Dalva 2º SEM'!N6</f>
        <v>%</v>
      </c>
      <c r="O6" s="465" t="s">
        <v>377</v>
      </c>
      <c r="P6" s="467" t="str">
        <f>'UBS Vila Dalva 2º SEM'!P6</f>
        <v>%</v>
      </c>
      <c r="Q6" s="468" t="str">
        <f>'UBS Vila Dalva 2º SEM'!Q6</f>
        <v>Trimestre</v>
      </c>
      <c r="R6" s="468" t="str">
        <f>'UBS Vila Dalva 2º SEM'!R6</f>
        <v>%</v>
      </c>
    </row>
    <row r="7" spans="1:18" x14ac:dyDescent="0.25">
      <c r="A7" s="310" t="s">
        <v>158</v>
      </c>
      <c r="B7" s="315">
        <v>7200</v>
      </c>
      <c r="C7" s="311">
        <v>6746</v>
      </c>
      <c r="D7" s="314">
        <f t="shared" ref="D7:D16" si="0">((C7/$B7))-1</f>
        <v>-6.3055555555555531E-2</v>
      </c>
      <c r="E7" s="311">
        <v>6851</v>
      </c>
      <c r="F7" s="314">
        <f t="shared" ref="F7:F16" si="1">((E7/$B7))-1</f>
        <v>-4.847222222222225E-2</v>
      </c>
      <c r="G7" s="311">
        <v>6619</v>
      </c>
      <c r="H7" s="314">
        <f t="shared" ref="H7:H16" si="2">((G7/$B7))-1</f>
        <v>-8.0694444444444402E-2</v>
      </c>
      <c r="I7" s="313">
        <f t="shared" ref="I7:I16" si="3">C7+E7+G7</f>
        <v>20216</v>
      </c>
      <c r="J7" s="318">
        <f t="shared" ref="J7:J16" si="4">((I7/(3*$B7)))-1</f>
        <v>-6.4074074074074061E-2</v>
      </c>
      <c r="K7" s="311">
        <v>6564</v>
      </c>
      <c r="L7" s="314">
        <f t="shared" ref="L7:L16" si="5">((K7/$B7))-1</f>
        <v>-8.8333333333333375E-2</v>
      </c>
      <c r="M7" s="311">
        <v>6664</v>
      </c>
      <c r="N7" s="314">
        <f t="shared" ref="N7:N16" si="6">((M7/$B7))-1</f>
        <v>-7.4444444444444424E-2</v>
      </c>
      <c r="O7" s="311">
        <v>6625</v>
      </c>
      <c r="P7" s="314">
        <f t="shared" ref="P7:P16" si="7">((O7/$B7))-1</f>
        <v>-7.986111111111116E-2</v>
      </c>
      <c r="Q7" s="313">
        <f t="shared" ref="Q7:Q16" si="8">K7+M7+O7</f>
        <v>19853</v>
      </c>
      <c r="R7" s="318">
        <f t="shared" ref="R7:R16" si="9">((Q7/(3*$B7)))-1</f>
        <v>-8.0879629629629579E-2</v>
      </c>
    </row>
    <row r="8" spans="1:18" x14ac:dyDescent="0.25">
      <c r="A8" s="310" t="s">
        <v>159</v>
      </c>
      <c r="B8" s="315">
        <v>2496</v>
      </c>
      <c r="C8" s="311">
        <v>2529</v>
      </c>
      <c r="D8" s="314">
        <f t="shared" si="0"/>
        <v>1.3221153846153744E-2</v>
      </c>
      <c r="E8" s="311">
        <v>2995</v>
      </c>
      <c r="F8" s="314">
        <f t="shared" si="1"/>
        <v>0.19991987179487181</v>
      </c>
      <c r="G8" s="311">
        <v>2616</v>
      </c>
      <c r="H8" s="314">
        <f t="shared" si="2"/>
        <v>4.8076923076923128E-2</v>
      </c>
      <c r="I8" s="313">
        <f t="shared" si="3"/>
        <v>8140</v>
      </c>
      <c r="J8" s="318">
        <f t="shared" si="4"/>
        <v>8.7072649572649485E-2</v>
      </c>
      <c r="K8" s="311">
        <v>2694</v>
      </c>
      <c r="L8" s="314">
        <f t="shared" si="5"/>
        <v>7.9326923076923128E-2</v>
      </c>
      <c r="M8" s="311">
        <v>2254</v>
      </c>
      <c r="N8" s="314">
        <f t="shared" si="6"/>
        <v>-9.6955128205128194E-2</v>
      </c>
      <c r="O8" s="311">
        <v>2057</v>
      </c>
      <c r="P8" s="314">
        <f t="shared" si="7"/>
        <v>-0.17588141025641024</v>
      </c>
      <c r="Q8" s="313">
        <f t="shared" si="8"/>
        <v>7005</v>
      </c>
      <c r="R8" s="318">
        <f t="shared" si="9"/>
        <v>-6.4503205128205177E-2</v>
      </c>
    </row>
    <row r="9" spans="1:18" x14ac:dyDescent="0.25">
      <c r="A9" s="310" t="s">
        <v>171</v>
      </c>
      <c r="B9" s="315">
        <v>936</v>
      </c>
      <c r="C9" s="311">
        <v>1113</v>
      </c>
      <c r="D9" s="314">
        <f t="shared" si="0"/>
        <v>0.1891025641025641</v>
      </c>
      <c r="E9" s="311">
        <v>1312</v>
      </c>
      <c r="F9" s="314">
        <f t="shared" si="1"/>
        <v>0.40170940170940161</v>
      </c>
      <c r="G9" s="311">
        <v>1205</v>
      </c>
      <c r="H9" s="314">
        <f t="shared" si="2"/>
        <v>0.28739316239316248</v>
      </c>
      <c r="I9" s="313">
        <f t="shared" si="3"/>
        <v>3630</v>
      </c>
      <c r="J9" s="318">
        <f t="shared" si="4"/>
        <v>0.29273504273504281</v>
      </c>
      <c r="K9" s="311">
        <v>1323</v>
      </c>
      <c r="L9" s="314">
        <f t="shared" si="5"/>
        <v>0.41346153846153855</v>
      </c>
      <c r="M9" s="311">
        <v>1212</v>
      </c>
      <c r="N9" s="314">
        <f t="shared" si="6"/>
        <v>0.29487179487179493</v>
      </c>
      <c r="O9" s="311">
        <v>979</v>
      </c>
      <c r="P9" s="314">
        <f t="shared" si="7"/>
        <v>4.5940170940170999E-2</v>
      </c>
      <c r="Q9" s="313">
        <f t="shared" si="8"/>
        <v>3514</v>
      </c>
      <c r="R9" s="318">
        <f t="shared" si="9"/>
        <v>0.25142450142450135</v>
      </c>
    </row>
    <row r="10" spans="1:18" ht="24" x14ac:dyDescent="0.25">
      <c r="A10" s="464" t="s">
        <v>200</v>
      </c>
      <c r="B10" s="315">
        <v>384</v>
      </c>
      <c r="C10" s="311">
        <v>585</v>
      </c>
      <c r="D10" s="314">
        <f t="shared" si="0"/>
        <v>0.5234375</v>
      </c>
      <c r="E10" s="311">
        <v>519</v>
      </c>
      <c r="F10" s="314">
        <f t="shared" si="1"/>
        <v>0.3515625</v>
      </c>
      <c r="G10" s="311">
        <v>253</v>
      </c>
      <c r="H10" s="314">
        <f t="shared" si="2"/>
        <v>-0.34114583333333337</v>
      </c>
      <c r="I10" s="313">
        <f t="shared" si="3"/>
        <v>1357</v>
      </c>
      <c r="J10" s="318">
        <f t="shared" si="4"/>
        <v>0.17795138888888884</v>
      </c>
      <c r="K10" s="311">
        <v>460</v>
      </c>
      <c r="L10" s="314">
        <f t="shared" si="5"/>
        <v>0.19791666666666674</v>
      </c>
      <c r="M10" s="311">
        <v>329</v>
      </c>
      <c r="N10" s="314">
        <f t="shared" si="6"/>
        <v>-0.14322916666666663</v>
      </c>
      <c r="O10" s="311">
        <v>172</v>
      </c>
      <c r="P10" s="314">
        <f t="shared" si="7"/>
        <v>-0.55208333333333326</v>
      </c>
      <c r="Q10" s="313">
        <f t="shared" si="8"/>
        <v>961</v>
      </c>
      <c r="R10" s="318">
        <f t="shared" si="9"/>
        <v>-0.16579861111111116</v>
      </c>
    </row>
    <row r="11" spans="1:18" x14ac:dyDescent="0.25">
      <c r="A11" s="464" t="s">
        <v>203</v>
      </c>
      <c r="B11" s="315">
        <v>1344</v>
      </c>
      <c r="C11" s="311">
        <v>1408</v>
      </c>
      <c r="D11" s="314">
        <f t="shared" si="0"/>
        <v>4.7619047619047672E-2</v>
      </c>
      <c r="E11" s="311">
        <v>1133</v>
      </c>
      <c r="F11" s="314">
        <f t="shared" si="1"/>
        <v>-0.15699404761904767</v>
      </c>
      <c r="G11" s="311">
        <v>962</v>
      </c>
      <c r="H11" s="314">
        <f t="shared" si="2"/>
        <v>-0.28422619047619047</v>
      </c>
      <c r="I11" s="313">
        <f t="shared" si="3"/>
        <v>3503</v>
      </c>
      <c r="J11" s="318">
        <f t="shared" si="4"/>
        <v>-0.13120039682539686</v>
      </c>
      <c r="K11" s="311">
        <v>1656</v>
      </c>
      <c r="L11" s="314">
        <f t="shared" si="5"/>
        <v>0.23214285714285721</v>
      </c>
      <c r="M11" s="311">
        <v>1173</v>
      </c>
      <c r="N11" s="314">
        <f t="shared" si="6"/>
        <v>-0.1272321428571429</v>
      </c>
      <c r="O11" s="311">
        <v>812</v>
      </c>
      <c r="P11" s="314">
        <f t="shared" si="7"/>
        <v>-0.39583333333333337</v>
      </c>
      <c r="Q11" s="313">
        <f t="shared" si="8"/>
        <v>3641</v>
      </c>
      <c r="R11" s="318">
        <f t="shared" si="9"/>
        <v>-9.6974206349206393E-2</v>
      </c>
    </row>
    <row r="12" spans="1:18" x14ac:dyDescent="0.25">
      <c r="A12" s="310" t="s">
        <v>201</v>
      </c>
      <c r="B12" s="315">
        <v>96</v>
      </c>
      <c r="C12" s="311">
        <v>0</v>
      </c>
      <c r="D12" s="314">
        <f t="shared" si="0"/>
        <v>-1</v>
      </c>
      <c r="E12" s="311">
        <v>66</v>
      </c>
      <c r="F12" s="314">
        <f t="shared" si="1"/>
        <v>-0.3125</v>
      </c>
      <c r="G12" s="311">
        <v>89</v>
      </c>
      <c r="H12" s="314">
        <f t="shared" si="2"/>
        <v>-7.291666666666663E-2</v>
      </c>
      <c r="I12" s="313">
        <f t="shared" si="3"/>
        <v>155</v>
      </c>
      <c r="J12" s="318">
        <f t="shared" si="4"/>
        <v>-0.46180555555555558</v>
      </c>
      <c r="K12" s="311">
        <v>26</v>
      </c>
      <c r="L12" s="314">
        <f t="shared" si="5"/>
        <v>-0.72916666666666674</v>
      </c>
      <c r="M12" s="311">
        <v>0</v>
      </c>
      <c r="N12" s="314">
        <f t="shared" si="6"/>
        <v>-1</v>
      </c>
      <c r="O12" s="311">
        <v>186</v>
      </c>
      <c r="P12" s="314">
        <f t="shared" si="7"/>
        <v>0.9375</v>
      </c>
      <c r="Q12" s="313">
        <f t="shared" si="8"/>
        <v>212</v>
      </c>
      <c r="R12" s="318">
        <f t="shared" si="9"/>
        <v>-0.26388888888888884</v>
      </c>
    </row>
    <row r="13" spans="1:18" x14ac:dyDescent="0.25">
      <c r="A13" s="310" t="s">
        <v>176</v>
      </c>
      <c r="B13" s="315">
        <v>336</v>
      </c>
      <c r="C13" s="311">
        <v>0</v>
      </c>
      <c r="D13" s="314">
        <f t="shared" si="0"/>
        <v>-1</v>
      </c>
      <c r="E13" s="311">
        <v>109</v>
      </c>
      <c r="F13" s="314">
        <f t="shared" si="1"/>
        <v>-0.67559523809523814</v>
      </c>
      <c r="G13" s="311">
        <v>102</v>
      </c>
      <c r="H13" s="314">
        <f t="shared" si="2"/>
        <v>-0.6964285714285714</v>
      </c>
      <c r="I13" s="313">
        <f t="shared" si="3"/>
        <v>211</v>
      </c>
      <c r="J13" s="318">
        <f t="shared" si="4"/>
        <v>-0.79067460317460314</v>
      </c>
      <c r="K13" s="311">
        <v>90</v>
      </c>
      <c r="L13" s="314">
        <f t="shared" si="5"/>
        <v>-0.73214285714285721</v>
      </c>
      <c r="M13" s="311">
        <v>0</v>
      </c>
      <c r="N13" s="314">
        <f t="shared" si="6"/>
        <v>-1</v>
      </c>
      <c r="O13" s="311">
        <v>507</v>
      </c>
      <c r="P13" s="314">
        <f t="shared" si="7"/>
        <v>0.5089285714285714</v>
      </c>
      <c r="Q13" s="313">
        <f t="shared" si="8"/>
        <v>597</v>
      </c>
      <c r="R13" s="318">
        <f t="shared" si="9"/>
        <v>-0.40773809523809523</v>
      </c>
    </row>
    <row r="14" spans="1:18" ht="15" customHeight="1" x14ac:dyDescent="0.25">
      <c r="A14" s="310" t="s">
        <v>162</v>
      </c>
      <c r="B14" s="315">
        <v>263</v>
      </c>
      <c r="C14" s="311">
        <v>0</v>
      </c>
      <c r="D14" s="314">
        <f t="shared" si="0"/>
        <v>-1</v>
      </c>
      <c r="E14" s="311">
        <v>0</v>
      </c>
      <c r="F14" s="314">
        <f t="shared" si="1"/>
        <v>-1</v>
      </c>
      <c r="G14" s="311">
        <v>0</v>
      </c>
      <c r="H14" s="314">
        <f t="shared" si="2"/>
        <v>-1</v>
      </c>
      <c r="I14" s="313">
        <f t="shared" si="3"/>
        <v>0</v>
      </c>
      <c r="J14" s="318">
        <f t="shared" si="4"/>
        <v>-1</v>
      </c>
      <c r="K14" s="311">
        <v>0</v>
      </c>
      <c r="L14" s="314">
        <f t="shared" si="5"/>
        <v>-1</v>
      </c>
      <c r="M14" s="311">
        <v>0</v>
      </c>
      <c r="N14" s="314">
        <f t="shared" si="6"/>
        <v>-1</v>
      </c>
      <c r="O14" s="311">
        <v>0</v>
      </c>
      <c r="P14" s="314">
        <f t="shared" si="7"/>
        <v>-1</v>
      </c>
      <c r="Q14" s="313">
        <f t="shared" si="8"/>
        <v>0</v>
      </c>
      <c r="R14" s="318">
        <f t="shared" si="9"/>
        <v>-1</v>
      </c>
    </row>
    <row r="15" spans="1:18" ht="15" customHeight="1" x14ac:dyDescent="0.25">
      <c r="A15" s="310" t="s">
        <v>204</v>
      </c>
      <c r="B15" s="315">
        <v>166</v>
      </c>
      <c r="C15" s="311">
        <v>127</v>
      </c>
      <c r="D15" s="314">
        <f t="shared" si="0"/>
        <v>-0.23493975903614461</v>
      </c>
      <c r="E15" s="311">
        <v>158</v>
      </c>
      <c r="F15" s="314">
        <f t="shared" si="1"/>
        <v>-4.8192771084337394E-2</v>
      </c>
      <c r="G15" s="311">
        <v>118</v>
      </c>
      <c r="H15" s="314">
        <f t="shared" si="2"/>
        <v>-0.28915662650602414</v>
      </c>
      <c r="I15" s="313">
        <f t="shared" si="3"/>
        <v>403</v>
      </c>
      <c r="J15" s="318">
        <f t="shared" si="4"/>
        <v>-0.19076305220883538</v>
      </c>
      <c r="K15" s="311">
        <v>124</v>
      </c>
      <c r="L15" s="314">
        <f t="shared" si="5"/>
        <v>-0.25301204819277112</v>
      </c>
      <c r="M15" s="311">
        <v>110</v>
      </c>
      <c r="N15" s="314">
        <f t="shared" si="6"/>
        <v>-0.33734939759036142</v>
      </c>
      <c r="O15" s="311">
        <v>89</v>
      </c>
      <c r="P15" s="314">
        <f t="shared" si="7"/>
        <v>-0.46385542168674698</v>
      </c>
      <c r="Q15" s="313">
        <f t="shared" si="8"/>
        <v>323</v>
      </c>
      <c r="R15" s="318">
        <f t="shared" si="9"/>
        <v>-0.35140562248995988</v>
      </c>
    </row>
    <row r="16" spans="1:18" ht="15" customHeight="1" x14ac:dyDescent="0.25">
      <c r="A16" s="470" t="s">
        <v>2</v>
      </c>
      <c r="B16" s="315">
        <f>SUM(B7:B15)</f>
        <v>13221</v>
      </c>
      <c r="C16" s="471">
        <f>SUM(C7:C15)</f>
        <v>12508</v>
      </c>
      <c r="D16" s="314">
        <f t="shared" si="0"/>
        <v>-5.3929354814310604E-2</v>
      </c>
      <c r="E16" s="471">
        <f>SUM(E7:E15)</f>
        <v>13143</v>
      </c>
      <c r="F16" s="314">
        <f t="shared" si="1"/>
        <v>-5.8997050147492347E-3</v>
      </c>
      <c r="G16" s="471">
        <f>SUM(G7:G15)</f>
        <v>11964</v>
      </c>
      <c r="H16" s="314">
        <f t="shared" si="2"/>
        <v>-9.5076015429997773E-2</v>
      </c>
      <c r="I16" s="313">
        <f t="shared" si="3"/>
        <v>37615</v>
      </c>
      <c r="J16" s="318">
        <f t="shared" si="4"/>
        <v>-5.1635025086352537E-2</v>
      </c>
      <c r="K16" s="471">
        <f>SUM(K7:K15)</f>
        <v>12937</v>
      </c>
      <c r="L16" s="314">
        <f t="shared" si="5"/>
        <v>-2.1480977233189646E-2</v>
      </c>
      <c r="M16" s="471">
        <f>SUM(M7:M15)</f>
        <v>11742</v>
      </c>
      <c r="N16" s="314">
        <f t="shared" si="6"/>
        <v>-0.11186748354889953</v>
      </c>
      <c r="O16" s="471">
        <f>SUM(O7:O15)</f>
        <v>11427</v>
      </c>
      <c r="P16" s="314">
        <f t="shared" si="7"/>
        <v>-0.13569321533923306</v>
      </c>
      <c r="Q16" s="313">
        <f t="shared" si="8"/>
        <v>36106</v>
      </c>
      <c r="R16" s="318">
        <f t="shared" si="9"/>
        <v>-8.9680558707107338E-2</v>
      </c>
    </row>
    <row r="17" spans="1:18" ht="15" hidden="1" customHeight="1" x14ac:dyDescent="0.25"/>
    <row r="18" spans="1:18" ht="15" hidden="1" customHeight="1" x14ac:dyDescent="0.25"/>
    <row r="19" spans="1:18" ht="15.75" hidden="1" customHeight="1" x14ac:dyDescent="0.25">
      <c r="A19" s="803" t="s">
        <v>341</v>
      </c>
      <c r="B19" s="802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</row>
    <row r="20" spans="1:18" ht="24.75" hidden="1" customHeight="1" thickBot="1" x14ac:dyDescent="0.3">
      <c r="A20" s="120" t="s">
        <v>8</v>
      </c>
      <c r="B20" s="121" t="s">
        <v>9</v>
      </c>
      <c r="C20" s="122" t="s">
        <v>382</v>
      </c>
      <c r="D20" s="123" t="str">
        <f>'UBS Vila Dalva 2º SEM'!D6</f>
        <v>%</v>
      </c>
      <c r="E20" s="122" t="s">
        <v>381</v>
      </c>
      <c r="F20" s="123" t="str">
        <f>'UBS Vila Dalva 2º SEM'!F6</f>
        <v>%</v>
      </c>
      <c r="G20" s="122" t="s">
        <v>380</v>
      </c>
      <c r="H20" s="123" t="str">
        <f>'UBS Vila Dalva 2º SEM'!H6</f>
        <v>%</v>
      </c>
      <c r="I20" s="124" t="str">
        <f>'UBS Vila Dalva 2º SEM'!I6</f>
        <v>Trimestre</v>
      </c>
      <c r="J20" s="124" t="str">
        <f>'UBS Vila Dalva 2º SEM'!J6</f>
        <v>%</v>
      </c>
      <c r="K20" s="122" t="s">
        <v>379</v>
      </c>
      <c r="L20" s="123" t="str">
        <f>'UBS Vila Dalva 2º SEM'!L6</f>
        <v>%</v>
      </c>
      <c r="M20" s="122" t="s">
        <v>378</v>
      </c>
      <c r="N20" s="123" t="str">
        <f>'UBS Vila Dalva 2º SEM'!N6</f>
        <v>%</v>
      </c>
      <c r="O20" s="122" t="s">
        <v>377</v>
      </c>
      <c r="P20" s="123" t="str">
        <f>'UBS Vila Dalva 2º SEM'!P6</f>
        <v>%</v>
      </c>
      <c r="Q20" s="124" t="str">
        <f>'UBS Vila Dalva 2º SEM'!Q6</f>
        <v>Trimestre</v>
      </c>
      <c r="R20" s="124" t="str">
        <f>'UBS Vila Dalva 2º SEM'!R6</f>
        <v>%</v>
      </c>
    </row>
    <row r="21" spans="1:18" ht="15.75" hidden="1" customHeight="1" thickTop="1" x14ac:dyDescent="0.25">
      <c r="A21" s="117" t="s">
        <v>164</v>
      </c>
      <c r="B21" s="741">
        <v>36</v>
      </c>
      <c r="C21" s="204">
        <v>36</v>
      </c>
      <c r="D21" s="209">
        <f t="shared" ref="D21:D32" si="10">((C21/$B21))-1</f>
        <v>0</v>
      </c>
      <c r="E21" s="204">
        <v>36</v>
      </c>
      <c r="F21" s="209">
        <f t="shared" ref="F21:F32" si="11">((E21/$B21))-1</f>
        <v>0</v>
      </c>
      <c r="G21" s="204">
        <v>35</v>
      </c>
      <c r="H21" s="209">
        <f t="shared" ref="H21:H32" si="12">((G21/$B21))-1</f>
        <v>-2.777777777777779E-2</v>
      </c>
      <c r="I21" s="210">
        <f t="shared" ref="I21:I32" si="13">C21+E21+G21</f>
        <v>107</v>
      </c>
      <c r="J21" s="211">
        <f t="shared" ref="J21:J32" si="14">((I21/(3*$B21)))-1</f>
        <v>-9.2592592592593004E-3</v>
      </c>
      <c r="K21" s="204">
        <v>35</v>
      </c>
      <c r="L21" s="209">
        <f t="shared" ref="L21:L32" si="15">((K21/$B21))-1</f>
        <v>-2.777777777777779E-2</v>
      </c>
      <c r="M21" s="204"/>
      <c r="N21" s="209">
        <f t="shared" ref="N21:N32" si="16">((M21/$B21))-1</f>
        <v>-1</v>
      </c>
      <c r="O21" s="204"/>
      <c r="P21" s="209">
        <f t="shared" ref="P21:P32" si="17">((O21/$B21))-1</f>
        <v>-1</v>
      </c>
      <c r="Q21" s="210">
        <f t="shared" ref="Q21:Q32" si="18">K21+M21+O21</f>
        <v>35</v>
      </c>
      <c r="R21" s="211">
        <f t="shared" ref="R21:R32" si="19">((Q21/(3*$B21)))-1</f>
        <v>-0.67592592592592593</v>
      </c>
    </row>
    <row r="22" spans="1:18" ht="15" hidden="1" customHeight="1" x14ac:dyDescent="0.25">
      <c r="A22" s="117" t="s">
        <v>165</v>
      </c>
      <c r="B22" s="738">
        <v>6</v>
      </c>
      <c r="C22" s="736">
        <v>6</v>
      </c>
      <c r="D22" s="209">
        <f t="shared" si="10"/>
        <v>0</v>
      </c>
      <c r="E22" s="736">
        <v>6</v>
      </c>
      <c r="F22" s="209">
        <f t="shared" si="11"/>
        <v>0</v>
      </c>
      <c r="G22" s="736">
        <v>6</v>
      </c>
      <c r="H22" s="209">
        <f t="shared" si="12"/>
        <v>0</v>
      </c>
      <c r="I22" s="210">
        <f t="shared" si="13"/>
        <v>18</v>
      </c>
      <c r="J22" s="211">
        <f t="shared" si="14"/>
        <v>0</v>
      </c>
      <c r="K22" s="736">
        <v>6</v>
      </c>
      <c r="L22" s="209">
        <f t="shared" si="15"/>
        <v>0</v>
      </c>
      <c r="M22" s="736"/>
      <c r="N22" s="209">
        <f t="shared" si="16"/>
        <v>-1</v>
      </c>
      <c r="O22" s="736"/>
      <c r="P22" s="209">
        <f t="shared" si="17"/>
        <v>-1</v>
      </c>
      <c r="Q22" s="210">
        <f t="shared" si="18"/>
        <v>6</v>
      </c>
      <c r="R22" s="211">
        <f t="shared" si="19"/>
        <v>-0.66666666666666674</v>
      </c>
    </row>
    <row r="23" spans="1:18" ht="15" hidden="1" customHeight="1" x14ac:dyDescent="0.25">
      <c r="A23" s="117" t="s">
        <v>186</v>
      </c>
      <c r="B23" s="738">
        <v>6</v>
      </c>
      <c r="C23" s="736">
        <v>6</v>
      </c>
      <c r="D23" s="209">
        <f t="shared" si="10"/>
        <v>0</v>
      </c>
      <c r="E23" s="736">
        <v>6</v>
      </c>
      <c r="F23" s="209">
        <f t="shared" si="11"/>
        <v>0</v>
      </c>
      <c r="G23" s="736">
        <v>6</v>
      </c>
      <c r="H23" s="209">
        <f t="shared" si="12"/>
        <v>0</v>
      </c>
      <c r="I23" s="210">
        <f t="shared" si="13"/>
        <v>18</v>
      </c>
      <c r="J23" s="211">
        <f t="shared" si="14"/>
        <v>0</v>
      </c>
      <c r="K23" s="736">
        <v>6</v>
      </c>
      <c r="L23" s="209">
        <f t="shared" si="15"/>
        <v>0</v>
      </c>
      <c r="M23" s="736"/>
      <c r="N23" s="209">
        <f t="shared" si="16"/>
        <v>-1</v>
      </c>
      <c r="O23" s="736"/>
      <c r="P23" s="209">
        <f t="shared" si="17"/>
        <v>-1</v>
      </c>
      <c r="Q23" s="210">
        <f t="shared" si="18"/>
        <v>6</v>
      </c>
      <c r="R23" s="211">
        <f t="shared" si="19"/>
        <v>-0.66666666666666674</v>
      </c>
    </row>
    <row r="24" spans="1:18" ht="15" hidden="1" customHeight="1" x14ac:dyDescent="0.25">
      <c r="A24" s="117" t="s">
        <v>205</v>
      </c>
      <c r="B24" s="738">
        <v>2</v>
      </c>
      <c r="C24" s="736">
        <v>2</v>
      </c>
      <c r="D24" s="209">
        <f t="shared" si="10"/>
        <v>0</v>
      </c>
      <c r="E24" s="736">
        <v>2</v>
      </c>
      <c r="F24" s="209">
        <f t="shared" si="11"/>
        <v>0</v>
      </c>
      <c r="G24" s="736">
        <v>2</v>
      </c>
      <c r="H24" s="209">
        <f t="shared" si="12"/>
        <v>0</v>
      </c>
      <c r="I24" s="210">
        <f t="shared" si="13"/>
        <v>6</v>
      </c>
      <c r="J24" s="211">
        <f t="shared" si="14"/>
        <v>0</v>
      </c>
      <c r="K24" s="736">
        <v>2</v>
      </c>
      <c r="L24" s="209">
        <f t="shared" si="15"/>
        <v>0</v>
      </c>
      <c r="M24" s="736"/>
      <c r="N24" s="209">
        <f t="shared" si="16"/>
        <v>-1</v>
      </c>
      <c r="O24" s="736"/>
      <c r="P24" s="209">
        <f t="shared" si="17"/>
        <v>-1</v>
      </c>
      <c r="Q24" s="210">
        <f t="shared" si="18"/>
        <v>2</v>
      </c>
      <c r="R24" s="211">
        <f t="shared" si="19"/>
        <v>-0.66666666666666674</v>
      </c>
    </row>
    <row r="25" spans="1:18" ht="15" hidden="1" customHeight="1" x14ac:dyDescent="0.25">
      <c r="A25" s="310" t="s">
        <v>206</v>
      </c>
      <c r="B25" s="738">
        <v>1</v>
      </c>
      <c r="C25" s="736">
        <v>1</v>
      </c>
      <c r="D25" s="209">
        <f t="shared" si="10"/>
        <v>0</v>
      </c>
      <c r="E25" s="736">
        <v>1</v>
      </c>
      <c r="F25" s="209">
        <f t="shared" si="11"/>
        <v>0</v>
      </c>
      <c r="G25" s="736">
        <v>1</v>
      </c>
      <c r="H25" s="209">
        <f t="shared" si="12"/>
        <v>0</v>
      </c>
      <c r="I25" s="210">
        <f t="shared" si="13"/>
        <v>3</v>
      </c>
      <c r="J25" s="211">
        <f t="shared" si="14"/>
        <v>0</v>
      </c>
      <c r="K25" s="749">
        <v>1</v>
      </c>
      <c r="L25" s="209">
        <f t="shared" si="15"/>
        <v>0</v>
      </c>
      <c r="M25" s="749"/>
      <c r="N25" s="209">
        <f t="shared" si="16"/>
        <v>-1</v>
      </c>
      <c r="O25" s="749"/>
      <c r="P25" s="209">
        <f t="shared" si="17"/>
        <v>-1</v>
      </c>
      <c r="Q25" s="210">
        <f t="shared" si="18"/>
        <v>1</v>
      </c>
      <c r="R25" s="211">
        <f t="shared" si="19"/>
        <v>-0.66666666666666674</v>
      </c>
    </row>
    <row r="26" spans="1:18" ht="15" hidden="1" customHeight="1" x14ac:dyDescent="0.25">
      <c r="A26" s="310" t="s">
        <v>168</v>
      </c>
      <c r="B26" s="738">
        <v>1</v>
      </c>
      <c r="C26" s="736">
        <v>0</v>
      </c>
      <c r="D26" s="209">
        <f t="shared" si="10"/>
        <v>-1</v>
      </c>
      <c r="E26" s="736">
        <v>0</v>
      </c>
      <c r="F26" s="209">
        <f t="shared" si="11"/>
        <v>-1</v>
      </c>
      <c r="G26" s="736">
        <v>0</v>
      </c>
      <c r="H26" s="209">
        <f t="shared" si="12"/>
        <v>-1</v>
      </c>
      <c r="I26" s="210">
        <f t="shared" si="13"/>
        <v>0</v>
      </c>
      <c r="J26" s="211">
        <f t="shared" si="14"/>
        <v>-1</v>
      </c>
      <c r="K26" s="736">
        <v>0</v>
      </c>
      <c r="L26" s="209">
        <f t="shared" si="15"/>
        <v>-1</v>
      </c>
      <c r="M26" s="736"/>
      <c r="N26" s="209">
        <f t="shared" si="16"/>
        <v>-1</v>
      </c>
      <c r="O26" s="736"/>
      <c r="P26" s="209">
        <f t="shared" si="17"/>
        <v>-1</v>
      </c>
      <c r="Q26" s="210">
        <f t="shared" si="18"/>
        <v>0</v>
      </c>
      <c r="R26" s="211">
        <f t="shared" si="19"/>
        <v>-1</v>
      </c>
    </row>
    <row r="27" spans="1:18" ht="15" hidden="1" customHeight="1" x14ac:dyDescent="0.25">
      <c r="A27" s="323" t="s">
        <v>207</v>
      </c>
      <c r="B27" s="752">
        <v>1</v>
      </c>
      <c r="C27" s="456">
        <v>1</v>
      </c>
      <c r="D27" s="728">
        <f t="shared" si="10"/>
        <v>0</v>
      </c>
      <c r="E27" s="456">
        <v>1</v>
      </c>
      <c r="F27" s="728">
        <f t="shared" si="11"/>
        <v>0</v>
      </c>
      <c r="G27" s="456">
        <v>1</v>
      </c>
      <c r="H27" s="728">
        <f t="shared" si="12"/>
        <v>0</v>
      </c>
      <c r="I27" s="729">
        <f t="shared" si="13"/>
        <v>3</v>
      </c>
      <c r="J27" s="730">
        <f t="shared" si="14"/>
        <v>0</v>
      </c>
      <c r="K27" s="456">
        <v>1</v>
      </c>
      <c r="L27" s="728">
        <f t="shared" si="15"/>
        <v>0</v>
      </c>
      <c r="M27" s="456"/>
      <c r="N27" s="728">
        <f t="shared" si="16"/>
        <v>-1</v>
      </c>
      <c r="O27" s="456"/>
      <c r="P27" s="728">
        <f t="shared" si="17"/>
        <v>-1</v>
      </c>
      <c r="Q27" s="729">
        <f t="shared" si="18"/>
        <v>1</v>
      </c>
      <c r="R27" s="730">
        <f t="shared" si="19"/>
        <v>-0.66666666666666674</v>
      </c>
    </row>
    <row r="28" spans="1:18" ht="15" hidden="1" customHeight="1" x14ac:dyDescent="0.25">
      <c r="A28" s="310" t="s">
        <v>184</v>
      </c>
      <c r="B28" s="315">
        <v>2</v>
      </c>
      <c r="C28" s="311">
        <v>2</v>
      </c>
      <c r="D28" s="314">
        <f t="shared" si="10"/>
        <v>0</v>
      </c>
      <c r="E28" s="311">
        <v>2</v>
      </c>
      <c r="F28" s="314">
        <f t="shared" si="11"/>
        <v>0</v>
      </c>
      <c r="G28" s="311">
        <v>2</v>
      </c>
      <c r="H28" s="314">
        <f t="shared" si="12"/>
        <v>0</v>
      </c>
      <c r="I28" s="313">
        <f t="shared" si="13"/>
        <v>6</v>
      </c>
      <c r="J28" s="318">
        <f t="shared" si="14"/>
        <v>0</v>
      </c>
      <c r="K28" s="311">
        <v>2</v>
      </c>
      <c r="L28" s="314">
        <f t="shared" si="15"/>
        <v>0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2</v>
      </c>
      <c r="R28" s="318">
        <f t="shared" si="19"/>
        <v>-0.66666666666666674</v>
      </c>
    </row>
    <row r="29" spans="1:18" ht="15" hidden="1" customHeight="1" x14ac:dyDescent="0.25">
      <c r="A29" s="310" t="s">
        <v>145</v>
      </c>
      <c r="B29" s="315">
        <v>3</v>
      </c>
      <c r="C29" s="311">
        <v>2</v>
      </c>
      <c r="D29" s="314">
        <f t="shared" si="10"/>
        <v>-0.33333333333333337</v>
      </c>
      <c r="E29" s="311">
        <v>3</v>
      </c>
      <c r="F29" s="314">
        <f t="shared" si="11"/>
        <v>0</v>
      </c>
      <c r="G29" s="311">
        <v>2</v>
      </c>
      <c r="H29" s="314">
        <f t="shared" si="12"/>
        <v>-0.33333333333333337</v>
      </c>
      <c r="I29" s="313">
        <f t="shared" si="13"/>
        <v>7</v>
      </c>
      <c r="J29" s="318">
        <f t="shared" si="14"/>
        <v>-0.22222222222222221</v>
      </c>
      <c r="K29" s="311">
        <v>1</v>
      </c>
      <c r="L29" s="314">
        <f t="shared" si="15"/>
        <v>-0.66666666666666674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1</v>
      </c>
      <c r="R29" s="318">
        <f t="shared" si="19"/>
        <v>-0.88888888888888884</v>
      </c>
    </row>
    <row r="30" spans="1:18" ht="15" hidden="1" customHeight="1" x14ac:dyDescent="0.25">
      <c r="A30" s="310" t="s">
        <v>153</v>
      </c>
      <c r="B30" s="315">
        <v>1</v>
      </c>
      <c r="C30" s="311">
        <v>1</v>
      </c>
      <c r="D30" s="314">
        <f t="shared" si="10"/>
        <v>0</v>
      </c>
      <c r="E30" s="311">
        <v>1</v>
      </c>
      <c r="F30" s="314">
        <f t="shared" si="11"/>
        <v>0</v>
      </c>
      <c r="G30" s="311">
        <v>1</v>
      </c>
      <c r="H30" s="314">
        <f t="shared" si="12"/>
        <v>0</v>
      </c>
      <c r="I30" s="313">
        <f t="shared" si="13"/>
        <v>3</v>
      </c>
      <c r="J30" s="318">
        <f t="shared" si="14"/>
        <v>0</v>
      </c>
      <c r="K30" s="311">
        <v>1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1</v>
      </c>
      <c r="R30" s="318">
        <f t="shared" si="19"/>
        <v>-0.66666666666666674</v>
      </c>
    </row>
    <row r="31" spans="1:18" ht="15.75" hidden="1" customHeight="1" thickBot="1" x14ac:dyDescent="0.25">
      <c r="A31" s="323" t="s">
        <v>260</v>
      </c>
      <c r="B31" s="397">
        <v>1</v>
      </c>
      <c r="C31" s="329">
        <v>1</v>
      </c>
      <c r="D31" s="330">
        <f t="shared" si="10"/>
        <v>0</v>
      </c>
      <c r="E31" s="329">
        <v>1</v>
      </c>
      <c r="F31" s="330">
        <f t="shared" si="11"/>
        <v>0</v>
      </c>
      <c r="G31" s="329">
        <v>1</v>
      </c>
      <c r="H31" s="330">
        <f t="shared" si="12"/>
        <v>0</v>
      </c>
      <c r="I31" s="331">
        <f t="shared" si="13"/>
        <v>3</v>
      </c>
      <c r="J31" s="332">
        <f t="shared" si="14"/>
        <v>0</v>
      </c>
      <c r="K31" s="329">
        <v>1</v>
      </c>
      <c r="L31" s="330">
        <f t="shared" si="15"/>
        <v>0</v>
      </c>
      <c r="M31" s="329"/>
      <c r="N31" s="330">
        <f t="shared" si="16"/>
        <v>-1</v>
      </c>
      <c r="O31" s="329"/>
      <c r="P31" s="330">
        <f t="shared" si="17"/>
        <v>-1</v>
      </c>
      <c r="Q31" s="331">
        <f t="shared" si="18"/>
        <v>1</v>
      </c>
      <c r="R31" s="332">
        <f t="shared" si="19"/>
        <v>-0.66666666666666674</v>
      </c>
    </row>
    <row r="32" spans="1:18" ht="20.25" hidden="1" customHeight="1" thickBot="1" x14ac:dyDescent="0.3">
      <c r="A32" s="50" t="s">
        <v>2</v>
      </c>
      <c r="B32" s="52">
        <f>SUM(B21:B31)</f>
        <v>60</v>
      </c>
      <c r="C32" s="54">
        <f>SUM(C21:C31)</f>
        <v>58</v>
      </c>
      <c r="D32" s="59">
        <f t="shared" si="10"/>
        <v>-3.3333333333333326E-2</v>
      </c>
      <c r="E32" s="54">
        <f>SUM(E21:E31)</f>
        <v>59</v>
      </c>
      <c r="F32" s="59">
        <f t="shared" si="11"/>
        <v>-1.6666666666666718E-2</v>
      </c>
      <c r="G32" s="54">
        <f>SUM(G21:G31)</f>
        <v>57</v>
      </c>
      <c r="H32" s="59">
        <f t="shared" si="12"/>
        <v>-5.0000000000000044E-2</v>
      </c>
      <c r="I32" s="53">
        <f t="shared" si="13"/>
        <v>174</v>
      </c>
      <c r="J32" s="60">
        <f t="shared" si="14"/>
        <v>-3.3333333333333326E-2</v>
      </c>
      <c r="K32" s="54">
        <f>SUM(K21:K31)</f>
        <v>56</v>
      </c>
      <c r="L32" s="59">
        <f t="shared" si="15"/>
        <v>-6.6666666666666652E-2</v>
      </c>
      <c r="M32" s="54">
        <f>SUM(M21:M31)</f>
        <v>0</v>
      </c>
      <c r="N32" s="59">
        <f t="shared" si="16"/>
        <v>-1</v>
      </c>
      <c r="O32" s="54">
        <f>SUM(O21:O31)</f>
        <v>0</v>
      </c>
      <c r="P32" s="59">
        <f t="shared" si="17"/>
        <v>-1</v>
      </c>
      <c r="Q32" s="53">
        <f t="shared" si="18"/>
        <v>56</v>
      </c>
      <c r="R32" s="398">
        <f t="shared" si="19"/>
        <v>-0.68888888888888888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A19:R19"/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69" orientation="landscape" r:id="rId1"/>
  <headerFooter>
    <oddFooter>&amp;L&amp;10Fonte: Sistema WEBSAASS / SMS&amp;R&amp;10pag.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36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6.85546875" customWidth="1"/>
    <col min="2" max="2" width="9" style="392" bestFit="1" customWidth="1"/>
    <col min="3" max="3" width="9" bestFit="1" customWidth="1"/>
    <col min="4" max="4" width="9" customWidth="1"/>
    <col min="5" max="5" width="9" bestFit="1" customWidth="1"/>
    <col min="6" max="6" width="8.5703125" customWidth="1"/>
    <col min="7" max="8" width="9" bestFit="1" customWidth="1"/>
    <col min="9" max="9" width="9.5703125" customWidth="1"/>
    <col min="10" max="10" width="9.7109375" bestFit="1" customWidth="1"/>
    <col min="11" max="11" width="9" bestFit="1" customWidth="1"/>
    <col min="12" max="12" width="8.7109375" customWidth="1"/>
    <col min="13" max="13" width="9" bestFit="1" customWidth="1"/>
    <col min="14" max="14" width="8.5703125" customWidth="1"/>
    <col min="15" max="15" width="9" bestFit="1" customWidth="1"/>
    <col min="16" max="16" width="8.28515625" customWidth="1"/>
    <col min="17" max="17" width="9.7109375" customWidth="1"/>
    <col min="18" max="18" width="9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customHeight="1" x14ac:dyDescent="0.25">
      <c r="A5" s="804" t="s">
        <v>342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</row>
    <row r="6" spans="1:18" ht="24.75" thickBot="1" x14ac:dyDescent="0.3">
      <c r="A6" s="120" t="s">
        <v>8</v>
      </c>
      <c r="B6" s="121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">
        <v>1</v>
      </c>
    </row>
    <row r="7" spans="1:18" ht="15.75" thickTop="1" x14ac:dyDescent="0.25">
      <c r="A7" s="55" t="s">
        <v>141</v>
      </c>
      <c r="B7" s="6">
        <v>4800</v>
      </c>
      <c r="C7" s="7">
        <v>4038</v>
      </c>
      <c r="D7" s="18">
        <f>((C7/$B7))-1</f>
        <v>-0.15874999999999995</v>
      </c>
      <c r="E7" s="7">
        <v>3960</v>
      </c>
      <c r="F7" s="18">
        <f>((E7/$B7))-1</f>
        <v>-0.17500000000000004</v>
      </c>
      <c r="G7" s="7">
        <v>4600</v>
      </c>
      <c r="H7" s="22">
        <f>((G7/$B7))-1</f>
        <v>-4.166666666666663E-2</v>
      </c>
      <c r="I7" s="9">
        <f>C7+E7+G7</f>
        <v>12598</v>
      </c>
      <c r="J7" s="19">
        <f>((I7/(3*$B7)))-1</f>
        <v>-0.12513888888888891</v>
      </c>
      <c r="K7" s="7">
        <v>4851</v>
      </c>
      <c r="L7" s="18">
        <f>((K7/$B7))-1</f>
        <v>1.0625000000000107E-2</v>
      </c>
      <c r="M7" s="7">
        <v>4614</v>
      </c>
      <c r="N7" s="18">
        <f>((M7/$B7))-1</f>
        <v>-3.8749999999999951E-2</v>
      </c>
      <c r="O7" s="7">
        <v>4066</v>
      </c>
      <c r="P7" s="22">
        <f>((O7/$B7))-1</f>
        <v>-0.1529166666666667</v>
      </c>
      <c r="Q7" s="9">
        <f>K7+M7+O7</f>
        <v>13531</v>
      </c>
      <c r="R7" s="19">
        <f>((Q7/(3*$B7)))-1</f>
        <v>-6.0347222222222219E-2</v>
      </c>
    </row>
    <row r="8" spans="1:18" x14ac:dyDescent="0.25">
      <c r="A8" s="117" t="s">
        <v>142</v>
      </c>
      <c r="B8" s="391">
        <v>1664</v>
      </c>
      <c r="C8" s="118">
        <v>1262</v>
      </c>
      <c r="D8" s="18">
        <f t="shared" ref="D8:D11" si="0">((C8/$B8))-1</f>
        <v>-0.24158653846153844</v>
      </c>
      <c r="E8" s="118">
        <v>1176</v>
      </c>
      <c r="F8" s="18">
        <f t="shared" ref="F8" si="1">((E8/$B8))-1</f>
        <v>-0.29326923076923073</v>
      </c>
      <c r="G8" s="118">
        <v>1680</v>
      </c>
      <c r="H8" s="22">
        <f t="shared" ref="H8:H11" si="2">((G8/$B8))-1</f>
        <v>9.6153846153845812E-3</v>
      </c>
      <c r="I8" s="9">
        <f t="shared" ref="I8:I11" si="3">C8+E8+G8</f>
        <v>4118</v>
      </c>
      <c r="J8" s="19">
        <f t="shared" ref="J8:J11" si="4">((I8/(3*$B8)))-1</f>
        <v>-0.17508012820512819</v>
      </c>
      <c r="K8" s="118">
        <v>1491</v>
      </c>
      <c r="L8" s="18">
        <f t="shared" ref="L8:L11" si="5">((K8/$B8))-1</f>
        <v>-0.10396634615384615</v>
      </c>
      <c r="M8" s="118">
        <v>1503</v>
      </c>
      <c r="N8" s="18">
        <f t="shared" ref="N8:N11" si="6">((M8/$B8))-1</f>
        <v>-9.6754807692307709E-2</v>
      </c>
      <c r="O8" s="118">
        <v>1490</v>
      </c>
      <c r="P8" s="22">
        <f t="shared" ref="P8:P11" si="7">((O8/$B8))-1</f>
        <v>-0.10456730769230771</v>
      </c>
      <c r="Q8" s="9">
        <f t="shared" ref="Q8:Q11" si="8">K8+M8+O8</f>
        <v>4484</v>
      </c>
      <c r="R8" s="19">
        <f t="shared" ref="R8:R12" si="9">((Q8/(3*$B8)))-1</f>
        <v>-0.10176282051282048</v>
      </c>
    </row>
    <row r="9" spans="1:18" x14ac:dyDescent="0.25">
      <c r="A9" s="117" t="s">
        <v>12</v>
      </c>
      <c r="B9" s="391">
        <v>624</v>
      </c>
      <c r="C9" s="118">
        <v>617</v>
      </c>
      <c r="D9" s="18">
        <f t="shared" si="0"/>
        <v>-1.1217948717948678E-2</v>
      </c>
      <c r="E9" s="118">
        <v>566</v>
      </c>
      <c r="F9" s="18">
        <f t="shared" ref="F9" si="10">((E9/$B9))-1</f>
        <v>-9.2948717948717952E-2</v>
      </c>
      <c r="G9" s="118">
        <v>586</v>
      </c>
      <c r="H9" s="22">
        <f t="shared" si="2"/>
        <v>-6.0897435897435903E-2</v>
      </c>
      <c r="I9" s="9">
        <f t="shared" si="3"/>
        <v>1769</v>
      </c>
      <c r="J9" s="19">
        <f t="shared" si="4"/>
        <v>-5.5021367521367548E-2</v>
      </c>
      <c r="K9" s="118">
        <v>441</v>
      </c>
      <c r="L9" s="18">
        <f t="shared" si="5"/>
        <v>-0.29326923076923073</v>
      </c>
      <c r="M9" s="118">
        <v>594</v>
      </c>
      <c r="N9" s="18">
        <f t="shared" si="6"/>
        <v>-4.8076923076923128E-2</v>
      </c>
      <c r="O9" s="118">
        <v>464</v>
      </c>
      <c r="P9" s="22">
        <f t="shared" si="7"/>
        <v>-0.25641025641025639</v>
      </c>
      <c r="Q9" s="9">
        <f t="shared" si="8"/>
        <v>1499</v>
      </c>
      <c r="R9" s="19">
        <f t="shared" si="9"/>
        <v>-0.19925213675213671</v>
      </c>
    </row>
    <row r="10" spans="1:18" ht="24" x14ac:dyDescent="0.25">
      <c r="A10" s="851" t="s">
        <v>189</v>
      </c>
      <c r="B10" s="391">
        <v>216</v>
      </c>
      <c r="C10" s="118">
        <v>175</v>
      </c>
      <c r="D10" s="18">
        <f t="shared" si="0"/>
        <v>-0.18981481481481477</v>
      </c>
      <c r="E10" s="118">
        <v>135</v>
      </c>
      <c r="F10" s="18">
        <f t="shared" ref="F10" si="11">((E10/$B10))-1</f>
        <v>-0.375</v>
      </c>
      <c r="G10" s="118">
        <v>220</v>
      </c>
      <c r="H10" s="22">
        <f t="shared" si="2"/>
        <v>1.8518518518518601E-2</v>
      </c>
      <c r="I10" s="9">
        <f t="shared" si="3"/>
        <v>530</v>
      </c>
      <c r="J10" s="19">
        <f t="shared" si="4"/>
        <v>-0.1820987654320988</v>
      </c>
      <c r="K10" s="118">
        <v>98</v>
      </c>
      <c r="L10" s="18">
        <f t="shared" si="5"/>
        <v>-0.54629629629629628</v>
      </c>
      <c r="M10" s="118">
        <v>212</v>
      </c>
      <c r="N10" s="18">
        <f t="shared" si="6"/>
        <v>-1.851851851851849E-2</v>
      </c>
      <c r="O10" s="118">
        <v>187</v>
      </c>
      <c r="P10" s="22">
        <f t="shared" si="7"/>
        <v>-0.1342592592592593</v>
      </c>
      <c r="Q10" s="9">
        <f t="shared" si="8"/>
        <v>497</v>
      </c>
      <c r="R10" s="19">
        <f t="shared" si="9"/>
        <v>-0.23302469135802473</v>
      </c>
    </row>
    <row r="11" spans="1:18" ht="15.75" thickBot="1" x14ac:dyDescent="0.3">
      <c r="A11" s="117" t="s">
        <v>4</v>
      </c>
      <c r="B11" s="391">
        <v>756</v>
      </c>
      <c r="C11" s="118">
        <v>713</v>
      </c>
      <c r="D11" s="18">
        <f t="shared" si="0"/>
        <v>-5.6878306878306861E-2</v>
      </c>
      <c r="E11" s="118">
        <v>595</v>
      </c>
      <c r="F11" s="18">
        <f t="shared" ref="F11" si="12">((E11/$B11))-1</f>
        <v>-0.21296296296296291</v>
      </c>
      <c r="G11" s="118">
        <v>1039</v>
      </c>
      <c r="H11" s="22">
        <f t="shared" si="2"/>
        <v>0.37433862433862441</v>
      </c>
      <c r="I11" s="9">
        <f t="shared" si="3"/>
        <v>2347</v>
      </c>
      <c r="J11" s="19">
        <f t="shared" si="4"/>
        <v>3.4832451499118067E-2</v>
      </c>
      <c r="K11" s="118">
        <v>637</v>
      </c>
      <c r="L11" s="18">
        <f t="shared" si="5"/>
        <v>-0.15740740740740744</v>
      </c>
      <c r="M11" s="118">
        <v>1009</v>
      </c>
      <c r="N11" s="18">
        <f t="shared" si="6"/>
        <v>0.33465608465608465</v>
      </c>
      <c r="O11" s="118">
        <v>868</v>
      </c>
      <c r="P11" s="22">
        <f t="shared" si="7"/>
        <v>0.14814814814814814</v>
      </c>
      <c r="Q11" s="9">
        <f t="shared" si="8"/>
        <v>2514</v>
      </c>
      <c r="R11" s="19">
        <f t="shared" si="9"/>
        <v>0.10846560846560838</v>
      </c>
    </row>
    <row r="12" spans="1:18" ht="15.75" thickBot="1" x14ac:dyDescent="0.3">
      <c r="A12" s="50" t="s">
        <v>2</v>
      </c>
      <c r="B12" s="52">
        <f>SUM(B7:B11)</f>
        <v>8060</v>
      </c>
      <c r="C12" s="54">
        <f>SUM(C7:C11)</f>
        <v>6805</v>
      </c>
      <c r="D12" s="59">
        <f>((C12/$B12))-1</f>
        <v>-0.15570719602977667</v>
      </c>
      <c r="E12" s="54">
        <f>SUM(E7:E11)</f>
        <v>6432</v>
      </c>
      <c r="F12" s="59">
        <f>((E12/$B12))-1</f>
        <v>-0.20198511166253097</v>
      </c>
      <c r="G12" s="54">
        <f>SUM(G7:G11)</f>
        <v>8125</v>
      </c>
      <c r="H12" s="126">
        <f>((G12/$B12))-1</f>
        <v>8.0645161290322509E-3</v>
      </c>
      <c r="I12" s="53">
        <f>C12+E12+G12</f>
        <v>21362</v>
      </c>
      <c r="J12" s="60">
        <f>((I12/(3*$B12)))-1</f>
        <v>-0.1165425971877585</v>
      </c>
      <c r="K12" s="54">
        <f>SUM(K7:K11)</f>
        <v>7518</v>
      </c>
      <c r="L12" s="59">
        <f>((K12/$B12))-1</f>
        <v>-6.7245657568238193E-2</v>
      </c>
      <c r="M12" s="54">
        <f>SUM(M7:M11)</f>
        <v>7932</v>
      </c>
      <c r="N12" s="59">
        <f>((M12/$B12))-1</f>
        <v>-1.5880893300248111E-2</v>
      </c>
      <c r="O12" s="54">
        <f>SUM(O7:O11)</f>
        <v>7075</v>
      </c>
      <c r="P12" s="126">
        <f>((O12/$B12))-1</f>
        <v>-0.12220843672456572</v>
      </c>
      <c r="Q12" s="53">
        <f>K12+M12+O12</f>
        <v>22525</v>
      </c>
      <c r="R12" s="60">
        <f t="shared" si="9"/>
        <v>-6.8444995864350711E-2</v>
      </c>
    </row>
    <row r="15" spans="1:18" ht="15.75" hidden="1" x14ac:dyDescent="0.25">
      <c r="A15" s="804" t="s">
        <v>343</v>
      </c>
      <c r="B15" s="805"/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</row>
    <row r="16" spans="1:18" ht="24" hidden="1" x14ac:dyDescent="0.25">
      <c r="A16" s="465" t="s">
        <v>8</v>
      </c>
      <c r="B16" s="466" t="s">
        <v>9</v>
      </c>
      <c r="C16" s="465" t="str">
        <f>'UBS Vila Dalva 1° SEM'!C6</f>
        <v>JAN</v>
      </c>
      <c r="D16" s="467" t="str">
        <f>'UBS Vila Dalva 1° SEM'!D6</f>
        <v>%</v>
      </c>
      <c r="E16" s="465" t="str">
        <f>'UBS Vila Dalva 1° SEM'!E6</f>
        <v>FEV</v>
      </c>
      <c r="F16" s="467" t="str">
        <f>'UBS Vila Dalva 1° SEM'!F6</f>
        <v>%</v>
      </c>
      <c r="G16" s="465" t="str">
        <f>'UBS Vila Dalva 1° SEM'!G6</f>
        <v>MAR</v>
      </c>
      <c r="H16" s="467" t="str">
        <f>'UBS Vila Dalva 1° SEM'!H6</f>
        <v>%</v>
      </c>
      <c r="I16" s="468" t="str">
        <f>'UBS Vila Dalva 1° SEM'!I6</f>
        <v>Trimestre</v>
      </c>
      <c r="J16" s="468" t="str">
        <f>'UBS Vila Dalva 1° SEM'!J6</f>
        <v>%</v>
      </c>
      <c r="K16" s="465" t="str">
        <f>'UBS Vila Dalva 1° SEM'!K6</f>
        <v>ABR</v>
      </c>
      <c r="L16" s="467" t="str">
        <f>'UBS Vila Dalva 1° SEM'!L6</f>
        <v>%</v>
      </c>
      <c r="M16" s="465" t="str">
        <f>'UBS Vila Dalva 1° SEM'!M6</f>
        <v>MAI</v>
      </c>
      <c r="N16" s="467" t="str">
        <f>'UBS Vila Dalva 1° SEM'!N6</f>
        <v>%</v>
      </c>
      <c r="O16" s="465" t="str">
        <f>'UBS Vila Dalva 1° SEM'!O6</f>
        <v>JUN</v>
      </c>
      <c r="P16" s="467" t="str">
        <f>'UBS Vila Dalva 1° SEM'!P6</f>
        <v>%</v>
      </c>
      <c r="Q16" s="468" t="str">
        <f>'UBS Vila Dalva 1° SEM'!Q6</f>
        <v>Trimestre</v>
      </c>
      <c r="R16" s="468" t="str">
        <f>'UBS Vila Dalva 1° SEM'!R6</f>
        <v>%</v>
      </c>
    </row>
    <row r="17" spans="1:18" hidden="1" x14ac:dyDescent="0.25">
      <c r="A17" s="310" t="s">
        <v>143</v>
      </c>
      <c r="B17" s="315">
        <v>24</v>
      </c>
      <c r="C17" s="311">
        <v>24</v>
      </c>
      <c r="D17" s="339">
        <f>((C17/$B17))-1</f>
        <v>0</v>
      </c>
      <c r="E17" s="311">
        <v>24</v>
      </c>
      <c r="F17" s="339">
        <f>((E17/$B17))-1</f>
        <v>0</v>
      </c>
      <c r="G17" s="311">
        <v>24</v>
      </c>
      <c r="H17" s="339">
        <f>((G17/$B17))-1</f>
        <v>0</v>
      </c>
      <c r="I17" s="313">
        <f>C17+E17+G17</f>
        <v>72</v>
      </c>
      <c r="J17" s="340">
        <f>((I17/(3*$B17)))-1</f>
        <v>0</v>
      </c>
      <c r="K17" s="311">
        <v>24</v>
      </c>
      <c r="L17" s="339">
        <f>((K17/$B17))-1</f>
        <v>0</v>
      </c>
      <c r="M17" s="311">
        <v>24</v>
      </c>
      <c r="N17" s="339">
        <f>((M17/$B17))-1</f>
        <v>0</v>
      </c>
      <c r="O17" s="469">
        <v>24</v>
      </c>
      <c r="P17" s="339">
        <f>((O17/$B17))-1</f>
        <v>0</v>
      </c>
      <c r="Q17" s="313">
        <f>K17+M17+O17</f>
        <v>72</v>
      </c>
      <c r="R17" s="340">
        <f>((Q17/(3*$B17)))-1</f>
        <v>0</v>
      </c>
    </row>
    <row r="18" spans="1:18" hidden="1" x14ac:dyDescent="0.25">
      <c r="A18" s="310" t="s">
        <v>144</v>
      </c>
      <c r="B18" s="315">
        <v>4</v>
      </c>
      <c r="C18" s="311" t="s">
        <v>376</v>
      </c>
      <c r="D18" s="339" t="e">
        <f t="shared" ref="D18:D21" si="13">((C18/$B18))-1</f>
        <v>#VALUE!</v>
      </c>
      <c r="E18" s="311" t="s">
        <v>376</v>
      </c>
      <c r="F18" s="339" t="e">
        <f t="shared" ref="F18:F21" si="14">((E18/$B18))-1</f>
        <v>#VALUE!</v>
      </c>
      <c r="G18" s="311">
        <v>4</v>
      </c>
      <c r="H18" s="339">
        <f t="shared" ref="H18:H21" si="15">((G18/$B18))-1</f>
        <v>0</v>
      </c>
      <c r="I18" s="313" t="e">
        <f t="shared" ref="I18:I22" si="16">C18+E18+G18</f>
        <v>#VALUE!</v>
      </c>
      <c r="J18" s="340" t="e">
        <f t="shared" ref="J18:J22" si="17">((I18/(3*$B18)))-1</f>
        <v>#VALUE!</v>
      </c>
      <c r="K18" s="311">
        <v>4</v>
      </c>
      <c r="L18" s="339">
        <f t="shared" ref="L18:L21" si="18">((K18/$B18))-1</f>
        <v>0</v>
      </c>
      <c r="M18" s="311">
        <v>3</v>
      </c>
      <c r="N18" s="339">
        <f t="shared" ref="N18:N21" si="19">((M18/$B18))-1</f>
        <v>-0.25</v>
      </c>
      <c r="O18" s="311">
        <v>4</v>
      </c>
      <c r="P18" s="339">
        <f t="shared" ref="P18:P21" si="20">((O18/$B18))-1</f>
        <v>0</v>
      </c>
      <c r="Q18" s="313">
        <f t="shared" ref="Q18:Q22" si="21">K18+M18+O18</f>
        <v>11</v>
      </c>
      <c r="R18" s="340">
        <f t="shared" ref="R18:R22" si="22">((Q18/(3*$B18)))-1</f>
        <v>-8.333333333333337E-2</v>
      </c>
    </row>
    <row r="19" spans="1:18" hidden="1" x14ac:dyDescent="0.25">
      <c r="A19" s="310" t="s">
        <v>146</v>
      </c>
      <c r="B19" s="315">
        <v>4</v>
      </c>
      <c r="C19" s="311">
        <v>4</v>
      </c>
      <c r="D19" s="339">
        <f t="shared" si="13"/>
        <v>0</v>
      </c>
      <c r="E19" s="311">
        <v>4</v>
      </c>
      <c r="F19" s="339">
        <f t="shared" si="14"/>
        <v>0</v>
      </c>
      <c r="G19" s="311">
        <v>4</v>
      </c>
      <c r="H19" s="339">
        <f t="shared" si="15"/>
        <v>0</v>
      </c>
      <c r="I19" s="313">
        <f t="shared" si="16"/>
        <v>12</v>
      </c>
      <c r="J19" s="340">
        <f t="shared" si="17"/>
        <v>0</v>
      </c>
      <c r="K19" s="311">
        <v>4</v>
      </c>
      <c r="L19" s="339">
        <f t="shared" si="18"/>
        <v>0</v>
      </c>
      <c r="M19" s="311">
        <v>4</v>
      </c>
      <c r="N19" s="339">
        <f t="shared" si="19"/>
        <v>0</v>
      </c>
      <c r="O19" s="311">
        <v>4</v>
      </c>
      <c r="P19" s="339">
        <f t="shared" si="20"/>
        <v>0</v>
      </c>
      <c r="Q19" s="313">
        <f t="shared" si="21"/>
        <v>12</v>
      </c>
      <c r="R19" s="340">
        <f t="shared" si="22"/>
        <v>0</v>
      </c>
    </row>
    <row r="20" spans="1:18" hidden="1" x14ac:dyDescent="0.25">
      <c r="A20" s="310" t="s">
        <v>147</v>
      </c>
      <c r="B20" s="315">
        <v>1</v>
      </c>
      <c r="C20" s="311">
        <v>1</v>
      </c>
      <c r="D20" s="339">
        <f t="shared" si="13"/>
        <v>0</v>
      </c>
      <c r="E20" s="311">
        <v>1</v>
      </c>
      <c r="F20" s="339">
        <f t="shared" si="14"/>
        <v>0</v>
      </c>
      <c r="G20" s="311">
        <v>1</v>
      </c>
      <c r="H20" s="339">
        <f t="shared" si="15"/>
        <v>0</v>
      </c>
      <c r="I20" s="313">
        <f t="shared" si="16"/>
        <v>3</v>
      </c>
      <c r="J20" s="340">
        <f t="shared" si="17"/>
        <v>0</v>
      </c>
      <c r="K20" s="311">
        <v>1</v>
      </c>
      <c r="L20" s="339">
        <f t="shared" si="18"/>
        <v>0</v>
      </c>
      <c r="M20" s="311">
        <v>1</v>
      </c>
      <c r="N20" s="339">
        <f t="shared" si="19"/>
        <v>0</v>
      </c>
      <c r="O20" s="311">
        <v>1</v>
      </c>
      <c r="P20" s="339">
        <f t="shared" si="20"/>
        <v>0</v>
      </c>
      <c r="Q20" s="313">
        <f t="shared" si="21"/>
        <v>3</v>
      </c>
      <c r="R20" s="340">
        <f t="shared" si="22"/>
        <v>0</v>
      </c>
    </row>
    <row r="21" spans="1:18" hidden="1" x14ac:dyDescent="0.25">
      <c r="A21" s="310" t="s">
        <v>193</v>
      </c>
      <c r="B21" s="315">
        <v>1</v>
      </c>
      <c r="C21" s="311">
        <v>0</v>
      </c>
      <c r="D21" s="339">
        <f t="shared" si="13"/>
        <v>-1</v>
      </c>
      <c r="E21" s="311">
        <v>0</v>
      </c>
      <c r="F21" s="339">
        <f t="shared" si="14"/>
        <v>-1</v>
      </c>
      <c r="G21" s="311">
        <v>0</v>
      </c>
      <c r="H21" s="339">
        <f t="shared" si="15"/>
        <v>-1</v>
      </c>
      <c r="I21" s="313">
        <f t="shared" si="16"/>
        <v>0</v>
      </c>
      <c r="J21" s="340">
        <f t="shared" si="17"/>
        <v>-1</v>
      </c>
      <c r="K21" s="311">
        <v>0</v>
      </c>
      <c r="L21" s="339">
        <f t="shared" si="18"/>
        <v>-1</v>
      </c>
      <c r="M21" s="311">
        <v>0</v>
      </c>
      <c r="N21" s="339">
        <f t="shared" si="19"/>
        <v>-1</v>
      </c>
      <c r="O21" s="311">
        <v>0</v>
      </c>
      <c r="P21" s="339">
        <f t="shared" si="20"/>
        <v>-1</v>
      </c>
      <c r="Q21" s="313">
        <f t="shared" si="21"/>
        <v>0</v>
      </c>
      <c r="R21" s="340">
        <f t="shared" si="22"/>
        <v>-1</v>
      </c>
    </row>
    <row r="22" spans="1:18" hidden="1" x14ac:dyDescent="0.25">
      <c r="A22" s="470" t="s">
        <v>2</v>
      </c>
      <c r="B22" s="315">
        <f>SUM(B17:B21)</f>
        <v>34</v>
      </c>
      <c r="C22" s="471">
        <f>SUM(C17:C21)</f>
        <v>29</v>
      </c>
      <c r="D22" s="314">
        <f>((C22/$B22))-1</f>
        <v>-0.1470588235294118</v>
      </c>
      <c r="E22" s="471">
        <f>SUM(E17:E21)</f>
        <v>29</v>
      </c>
      <c r="F22" s="314">
        <f>((E22/$B22))-1</f>
        <v>-0.1470588235294118</v>
      </c>
      <c r="G22" s="471">
        <f>SUM(G17:G21)</f>
        <v>33</v>
      </c>
      <c r="H22" s="314">
        <f>((G22/$B22))-1</f>
        <v>-2.9411764705882359E-2</v>
      </c>
      <c r="I22" s="313">
        <f t="shared" si="16"/>
        <v>91</v>
      </c>
      <c r="J22" s="340">
        <f t="shared" si="17"/>
        <v>-0.10784313725490191</v>
      </c>
      <c r="K22" s="471">
        <f>SUM(K17:K21)</f>
        <v>33</v>
      </c>
      <c r="L22" s="314">
        <f>((K22/$B22))-1</f>
        <v>-2.9411764705882359E-2</v>
      </c>
      <c r="M22" s="471">
        <f>SUM(M17:M21)</f>
        <v>32</v>
      </c>
      <c r="N22" s="314">
        <f>((M22/$B22))-1</f>
        <v>-5.8823529411764719E-2</v>
      </c>
      <c r="O22" s="471">
        <f>SUM(O17:O21)</f>
        <v>33</v>
      </c>
      <c r="P22" s="314">
        <f>((O22/$B22))-1</f>
        <v>-2.9411764705882359E-2</v>
      </c>
      <c r="Q22" s="313">
        <f t="shared" si="21"/>
        <v>98</v>
      </c>
      <c r="R22" s="340">
        <f t="shared" si="22"/>
        <v>-3.9215686274509776E-2</v>
      </c>
    </row>
    <row r="23" spans="1:18" hidden="1" x14ac:dyDescent="0.25"/>
    <row r="24" spans="1:18" hidden="1" x14ac:dyDescent="0.25">
      <c r="K24" s="13"/>
      <c r="L24" s="286"/>
    </row>
    <row r="25" spans="1:18" ht="15.75" hidden="1" x14ac:dyDescent="0.25">
      <c r="A25" s="806" t="s">
        <v>344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</row>
    <row r="26" spans="1:18" ht="24.75" hidden="1" thickBot="1" x14ac:dyDescent="0.3">
      <c r="A26" s="10" t="s">
        <v>8</v>
      </c>
      <c r="B26" s="8" t="str">
        <f t="shared" ref="B26:R26" si="23">B16</f>
        <v>Meta / Mês</v>
      </c>
      <c r="C26" s="122" t="str">
        <f t="shared" si="23"/>
        <v>JAN</v>
      </c>
      <c r="D26" s="123" t="str">
        <f t="shared" si="23"/>
        <v>%</v>
      </c>
      <c r="E26" s="122" t="str">
        <f t="shared" si="23"/>
        <v>FEV</v>
      </c>
      <c r="F26" s="123" t="str">
        <f t="shared" si="23"/>
        <v>%</v>
      </c>
      <c r="G26" s="122" t="str">
        <f t="shared" si="23"/>
        <v>MAR</v>
      </c>
      <c r="H26" s="123" t="str">
        <f t="shared" si="23"/>
        <v>%</v>
      </c>
      <c r="I26" s="124" t="str">
        <f t="shared" si="23"/>
        <v>Trimestre</v>
      </c>
      <c r="J26" s="124" t="str">
        <f t="shared" si="23"/>
        <v>%</v>
      </c>
      <c r="K26" s="122" t="str">
        <f t="shared" si="23"/>
        <v>ABR</v>
      </c>
      <c r="L26" s="123" t="str">
        <f t="shared" si="23"/>
        <v>%</v>
      </c>
      <c r="M26" s="122" t="str">
        <f t="shared" si="23"/>
        <v>MAI</v>
      </c>
      <c r="N26" s="123" t="str">
        <f t="shared" si="23"/>
        <v>%</v>
      </c>
      <c r="O26" s="122" t="str">
        <f t="shared" si="23"/>
        <v>JUN</v>
      </c>
      <c r="P26" s="123" t="str">
        <f t="shared" si="23"/>
        <v>%</v>
      </c>
      <c r="Q26" s="124" t="str">
        <f t="shared" si="23"/>
        <v>Trimestre</v>
      </c>
      <c r="R26" s="124" t="str">
        <f t="shared" si="23"/>
        <v>%</v>
      </c>
    </row>
    <row r="27" spans="1:18" ht="15.75" hidden="1" thickTop="1" x14ac:dyDescent="0.25">
      <c r="A27" s="1" t="s">
        <v>155</v>
      </c>
      <c r="B27" s="393">
        <v>1</v>
      </c>
      <c r="C27" s="104">
        <v>1</v>
      </c>
      <c r="D27" s="21">
        <f t="shared" ref="D27:D31" si="24">$D$32</f>
        <v>-0.5</v>
      </c>
      <c r="E27" s="295">
        <v>1</v>
      </c>
      <c r="F27" s="21">
        <f t="shared" ref="F27:F30" si="25">$D$32</f>
        <v>-0.5</v>
      </c>
      <c r="G27" s="295">
        <v>1</v>
      </c>
      <c r="H27" s="21">
        <f t="shared" ref="H27:H30" si="26">$D$32</f>
        <v>-0.5</v>
      </c>
      <c r="I27" s="9">
        <f t="shared" ref="I27:I36" si="27">C27+E27+G27</f>
        <v>3</v>
      </c>
      <c r="J27" s="19">
        <f>((I27/(3*$B27)))-1</f>
        <v>0</v>
      </c>
      <c r="K27" s="295">
        <v>1</v>
      </c>
      <c r="L27" s="18">
        <f t="shared" ref="L27:L33" si="28">((K27/$B27))-1</f>
        <v>0</v>
      </c>
      <c r="M27" s="295">
        <v>1</v>
      </c>
      <c r="N27" s="21">
        <f t="shared" ref="N27:N30" si="29">$D$32</f>
        <v>-0.5</v>
      </c>
      <c r="O27" s="295">
        <v>1</v>
      </c>
      <c r="P27" s="21">
        <f t="shared" ref="P27:P30" si="30">$D$32</f>
        <v>-0.5</v>
      </c>
      <c r="Q27" s="9">
        <f>K27+M27+O27</f>
        <v>3</v>
      </c>
      <c r="R27" s="19">
        <f>((Q27/(3*$B27)))-1</f>
        <v>0</v>
      </c>
    </row>
    <row r="28" spans="1:18" hidden="1" x14ac:dyDescent="0.25">
      <c r="A28" s="1" t="s">
        <v>150</v>
      </c>
      <c r="B28" s="393">
        <v>2</v>
      </c>
      <c r="C28" s="104">
        <v>2</v>
      </c>
      <c r="D28" s="21">
        <f t="shared" si="24"/>
        <v>-0.5</v>
      </c>
      <c r="E28" s="295">
        <v>2</v>
      </c>
      <c r="F28" s="21">
        <f t="shared" si="25"/>
        <v>-0.5</v>
      </c>
      <c r="G28" s="295">
        <v>2</v>
      </c>
      <c r="H28" s="21">
        <f t="shared" si="26"/>
        <v>-0.5</v>
      </c>
      <c r="I28" s="9">
        <f t="shared" si="27"/>
        <v>6</v>
      </c>
      <c r="J28" s="19">
        <f t="shared" ref="J28:J36" si="31">((I28/(3*$B28)))-1</f>
        <v>0</v>
      </c>
      <c r="K28" s="295">
        <v>2</v>
      </c>
      <c r="L28" s="18">
        <f t="shared" si="28"/>
        <v>0</v>
      </c>
      <c r="M28" s="295">
        <v>2</v>
      </c>
      <c r="N28" s="21">
        <f t="shared" si="29"/>
        <v>-0.5</v>
      </c>
      <c r="O28" s="295">
        <v>2</v>
      </c>
      <c r="P28" s="21">
        <f t="shared" si="30"/>
        <v>-0.5</v>
      </c>
      <c r="Q28" s="9">
        <f t="shared" ref="Q28:Q35" si="32">K28+M28+O28</f>
        <v>6</v>
      </c>
      <c r="R28" s="19">
        <f t="shared" ref="R28:R33" si="33">((Q28/(3*$B28)))-1</f>
        <v>0</v>
      </c>
    </row>
    <row r="29" spans="1:18" hidden="1" x14ac:dyDescent="0.25">
      <c r="A29" s="1" t="s">
        <v>151</v>
      </c>
      <c r="B29" s="393">
        <v>1</v>
      </c>
      <c r="C29" s="104">
        <v>1</v>
      </c>
      <c r="D29" s="21">
        <f t="shared" si="24"/>
        <v>-0.5</v>
      </c>
      <c r="E29" s="295">
        <v>0</v>
      </c>
      <c r="F29" s="21">
        <f t="shared" si="25"/>
        <v>-0.5</v>
      </c>
      <c r="G29" s="295">
        <v>0</v>
      </c>
      <c r="H29" s="21">
        <f t="shared" si="26"/>
        <v>-0.5</v>
      </c>
      <c r="I29" s="9">
        <f t="shared" si="27"/>
        <v>1</v>
      </c>
      <c r="J29" s="19">
        <f t="shared" si="31"/>
        <v>-0.66666666666666674</v>
      </c>
      <c r="K29" s="295">
        <v>0</v>
      </c>
      <c r="L29" s="18">
        <f t="shared" si="28"/>
        <v>-1</v>
      </c>
      <c r="M29" s="295">
        <v>2</v>
      </c>
      <c r="N29" s="21">
        <f t="shared" si="29"/>
        <v>-0.5</v>
      </c>
      <c r="O29" s="295">
        <v>0</v>
      </c>
      <c r="P29" s="21">
        <f t="shared" si="30"/>
        <v>-0.5</v>
      </c>
      <c r="Q29" s="9">
        <f t="shared" si="32"/>
        <v>2</v>
      </c>
      <c r="R29" s="19">
        <f t="shared" si="33"/>
        <v>-0.33333333333333337</v>
      </c>
    </row>
    <row r="30" spans="1:18" hidden="1" x14ac:dyDescent="0.25">
      <c r="A30" s="1" t="s">
        <v>156</v>
      </c>
      <c r="B30" s="393">
        <v>1</v>
      </c>
      <c r="C30" s="104">
        <v>0</v>
      </c>
      <c r="D30" s="21">
        <f t="shared" si="24"/>
        <v>-0.5</v>
      </c>
      <c r="E30" s="295">
        <v>0</v>
      </c>
      <c r="F30" s="21">
        <f t="shared" si="25"/>
        <v>-0.5</v>
      </c>
      <c r="G30" s="295">
        <v>0</v>
      </c>
      <c r="H30" s="21">
        <f t="shared" si="26"/>
        <v>-0.5</v>
      </c>
      <c r="I30" s="9">
        <f t="shared" si="27"/>
        <v>0</v>
      </c>
      <c r="J30" s="19">
        <f t="shared" si="31"/>
        <v>-1</v>
      </c>
      <c r="K30" s="295">
        <v>0</v>
      </c>
      <c r="L30" s="18">
        <f t="shared" si="28"/>
        <v>-1</v>
      </c>
      <c r="M30" s="295">
        <v>0</v>
      </c>
      <c r="N30" s="21">
        <f t="shared" si="29"/>
        <v>-0.5</v>
      </c>
      <c r="O30" s="295">
        <v>0</v>
      </c>
      <c r="P30" s="21">
        <f t="shared" si="30"/>
        <v>-0.5</v>
      </c>
      <c r="Q30" s="9">
        <f t="shared" si="32"/>
        <v>0</v>
      </c>
      <c r="R30" s="19">
        <f t="shared" si="33"/>
        <v>-1</v>
      </c>
    </row>
    <row r="31" spans="1:18" hidden="1" x14ac:dyDescent="0.25">
      <c r="A31" s="1" t="s">
        <v>152</v>
      </c>
      <c r="B31" s="393">
        <v>1</v>
      </c>
      <c r="C31" s="104">
        <v>0</v>
      </c>
      <c r="D31" s="21">
        <f t="shared" si="24"/>
        <v>-0.5</v>
      </c>
      <c r="E31" s="295">
        <v>0</v>
      </c>
      <c r="F31" s="21">
        <f>((E31/$B$27))-1</f>
        <v>-1</v>
      </c>
      <c r="G31" s="295">
        <v>0</v>
      </c>
      <c r="H31" s="21">
        <f>((G31/$B$27))-1</f>
        <v>-1</v>
      </c>
      <c r="I31" s="9">
        <f t="shared" si="27"/>
        <v>0</v>
      </c>
      <c r="J31" s="19">
        <f t="shared" si="31"/>
        <v>-1</v>
      </c>
      <c r="K31" s="295">
        <v>0</v>
      </c>
      <c r="L31" s="18">
        <f t="shared" si="28"/>
        <v>-1</v>
      </c>
      <c r="M31" s="295">
        <v>0</v>
      </c>
      <c r="N31" s="21">
        <f>((M31/$B$27))-1</f>
        <v>-1</v>
      </c>
      <c r="O31" s="295">
        <v>0</v>
      </c>
      <c r="P31" s="21">
        <f>((O31/$B$27))-1</f>
        <v>-1</v>
      </c>
      <c r="Q31" s="9">
        <f t="shared" si="32"/>
        <v>0</v>
      </c>
      <c r="R31" s="19">
        <f t="shared" si="33"/>
        <v>-1</v>
      </c>
    </row>
    <row r="32" spans="1:18" hidden="1" x14ac:dyDescent="0.25">
      <c r="A32" s="356" t="s">
        <v>157</v>
      </c>
      <c r="B32" s="394">
        <v>1</v>
      </c>
      <c r="C32" s="357">
        <v>1</v>
      </c>
      <c r="D32" s="358">
        <f>((C32/$B$28))-1</f>
        <v>-0.5</v>
      </c>
      <c r="E32" s="357">
        <v>1</v>
      </c>
      <c r="F32" s="358">
        <f>((E32/$B$28))-1</f>
        <v>-0.5</v>
      </c>
      <c r="G32" s="357">
        <v>1</v>
      </c>
      <c r="H32" s="358">
        <f>((G32/$B$28))-1</f>
        <v>-0.5</v>
      </c>
      <c r="I32" s="359">
        <f t="shared" si="27"/>
        <v>3</v>
      </c>
      <c r="J32" s="360">
        <f t="shared" si="31"/>
        <v>0</v>
      </c>
      <c r="K32" s="357">
        <v>1</v>
      </c>
      <c r="L32" s="358">
        <f t="shared" si="28"/>
        <v>0</v>
      </c>
      <c r="M32" s="357">
        <v>1</v>
      </c>
      <c r="N32" s="358">
        <f>((M32/$B$28))-1</f>
        <v>-0.5</v>
      </c>
      <c r="O32" s="357">
        <v>1</v>
      </c>
      <c r="P32" s="358">
        <f>((O32/$B$28))-1</f>
        <v>-0.5</v>
      </c>
      <c r="Q32" s="359">
        <f t="shared" si="32"/>
        <v>3</v>
      </c>
      <c r="R32" s="360">
        <f t="shared" si="33"/>
        <v>0</v>
      </c>
    </row>
    <row r="33" spans="1:18" hidden="1" x14ac:dyDescent="0.25">
      <c r="A33" s="361" t="s">
        <v>14</v>
      </c>
      <c r="B33" s="395">
        <v>1</v>
      </c>
      <c r="C33" s="362">
        <v>1</v>
      </c>
      <c r="D33" s="363">
        <f>((C33/$B$29))-1</f>
        <v>0</v>
      </c>
      <c r="E33" s="362">
        <v>1</v>
      </c>
      <c r="F33" s="363">
        <f>((E33/$B$29))-1</f>
        <v>0</v>
      </c>
      <c r="G33" s="362">
        <v>1</v>
      </c>
      <c r="H33" s="363">
        <f>((G33/$B$29))-1</f>
        <v>0</v>
      </c>
      <c r="I33" s="364">
        <f t="shared" si="27"/>
        <v>3</v>
      </c>
      <c r="J33" s="365">
        <f t="shared" si="31"/>
        <v>0</v>
      </c>
      <c r="K33" s="362">
        <v>0</v>
      </c>
      <c r="L33" s="363">
        <f t="shared" si="28"/>
        <v>-1</v>
      </c>
      <c r="M33" s="362">
        <v>1</v>
      </c>
      <c r="N33" s="363">
        <f>((M33/$B$29))-1</f>
        <v>0</v>
      </c>
      <c r="O33" s="362">
        <v>1</v>
      </c>
      <c r="P33" s="363">
        <f>((O33/$B$29))-1</f>
        <v>0</v>
      </c>
      <c r="Q33" s="364">
        <f t="shared" si="32"/>
        <v>2</v>
      </c>
      <c r="R33" s="365">
        <f t="shared" si="33"/>
        <v>-0.33333333333333337</v>
      </c>
    </row>
    <row r="34" spans="1:18" hidden="1" x14ac:dyDescent="0.25">
      <c r="A34" s="361" t="s">
        <v>153</v>
      </c>
      <c r="B34" s="395">
        <v>1</v>
      </c>
      <c r="C34" s="362">
        <v>1</v>
      </c>
      <c r="D34" s="363">
        <f t="shared" ref="D34:D35" si="34">D33</f>
        <v>0</v>
      </c>
      <c r="E34" s="362">
        <v>1</v>
      </c>
      <c r="F34" s="363">
        <f t="shared" ref="F34:F35" si="35">$F$33</f>
        <v>0</v>
      </c>
      <c r="G34" s="362">
        <v>1</v>
      </c>
      <c r="H34" s="363">
        <f t="shared" ref="H34:H35" si="36">$F$33</f>
        <v>0</v>
      </c>
      <c r="I34" s="364">
        <f t="shared" ref="I34:I35" si="37">C34+E34+G34</f>
        <v>3</v>
      </c>
      <c r="J34" s="365">
        <f t="shared" ref="J34:J35" si="38">((I34/(3*$B34)))-1</f>
        <v>0</v>
      </c>
      <c r="K34" s="362">
        <v>1</v>
      </c>
      <c r="L34" s="363">
        <f t="shared" ref="L34:L35" si="39">$F$33</f>
        <v>0</v>
      </c>
      <c r="M34" s="362">
        <v>1</v>
      </c>
      <c r="N34" s="363">
        <f t="shared" ref="N34:N35" si="40">$F$33</f>
        <v>0</v>
      </c>
      <c r="O34" s="362">
        <v>1</v>
      </c>
      <c r="P34" s="363">
        <f t="shared" ref="P34:P35" si="41">$F$33</f>
        <v>0</v>
      </c>
      <c r="Q34" s="364">
        <f t="shared" si="32"/>
        <v>3</v>
      </c>
      <c r="R34" s="365">
        <f t="shared" ref="R34:R35" si="42">$F$33</f>
        <v>0</v>
      </c>
    </row>
    <row r="35" spans="1:18" ht="15.75" hidden="1" thickBot="1" x14ac:dyDescent="0.3">
      <c r="A35" s="366" t="s">
        <v>154</v>
      </c>
      <c r="B35" s="396">
        <v>1</v>
      </c>
      <c r="C35" s="367">
        <v>1</v>
      </c>
      <c r="D35" s="368">
        <f t="shared" si="34"/>
        <v>0</v>
      </c>
      <c r="E35" s="367">
        <v>1</v>
      </c>
      <c r="F35" s="368">
        <f t="shared" si="35"/>
        <v>0</v>
      </c>
      <c r="G35" s="367">
        <v>1</v>
      </c>
      <c r="H35" s="368">
        <f t="shared" si="36"/>
        <v>0</v>
      </c>
      <c r="I35" s="364">
        <f t="shared" si="37"/>
        <v>3</v>
      </c>
      <c r="J35" s="365">
        <f t="shared" si="38"/>
        <v>0</v>
      </c>
      <c r="K35" s="367">
        <v>1</v>
      </c>
      <c r="L35" s="368">
        <f t="shared" si="39"/>
        <v>0</v>
      </c>
      <c r="M35" s="367">
        <v>1</v>
      </c>
      <c r="N35" s="368">
        <f t="shared" si="40"/>
        <v>0</v>
      </c>
      <c r="O35" s="367">
        <v>1</v>
      </c>
      <c r="P35" s="368">
        <f t="shared" si="41"/>
        <v>0</v>
      </c>
      <c r="Q35" s="364">
        <f t="shared" si="32"/>
        <v>3</v>
      </c>
      <c r="R35" s="369">
        <f t="shared" si="42"/>
        <v>0</v>
      </c>
    </row>
    <row r="36" spans="1:18" ht="15.75" hidden="1" thickBot="1" x14ac:dyDescent="0.3">
      <c r="A36" s="3" t="s">
        <v>2</v>
      </c>
      <c r="B36" s="4">
        <f>SUM(B27:B35)</f>
        <v>10</v>
      </c>
      <c r="C36" s="5">
        <f>SUM(C27:C35)</f>
        <v>8</v>
      </c>
      <c r="D36" s="45">
        <f>((C36/$B$30))-1</f>
        <v>7</v>
      </c>
      <c r="E36" s="5">
        <f>SUM(E27:E35)</f>
        <v>7</v>
      </c>
      <c r="F36" s="45">
        <f>((E36/$B$30))-1</f>
        <v>6</v>
      </c>
      <c r="G36" s="5">
        <f>SUM(G27:G35)</f>
        <v>7</v>
      </c>
      <c r="H36" s="45">
        <f>((G36/$B$30))-1</f>
        <v>6</v>
      </c>
      <c r="I36" s="306">
        <f t="shared" si="27"/>
        <v>22</v>
      </c>
      <c r="J36" s="58">
        <f t="shared" si="31"/>
        <v>-0.26666666666666672</v>
      </c>
      <c r="K36" s="5">
        <f>SUM(K27:K35)</f>
        <v>6</v>
      </c>
      <c r="L36" s="45">
        <f>((K36/$B36))-1</f>
        <v>-0.4</v>
      </c>
      <c r="M36" s="5">
        <f>SUM(M27:M35)</f>
        <v>9</v>
      </c>
      <c r="N36" s="45">
        <f>((M36/$B$30))-1</f>
        <v>8</v>
      </c>
      <c r="O36" s="5">
        <f>SUM(O27:O35)</f>
        <v>7</v>
      </c>
      <c r="P36" s="45">
        <f>((O36/$B$30))-1</f>
        <v>6</v>
      </c>
      <c r="Q36" s="306">
        <f>K36+M36+O36</f>
        <v>22</v>
      </c>
      <c r="R36" s="58">
        <f>((Q36/(3*$B36)))-1</f>
        <v>-0.26666666666666672</v>
      </c>
    </row>
  </sheetData>
  <mergeCells count="5">
    <mergeCell ref="A5:R5"/>
    <mergeCell ref="A15:R15"/>
    <mergeCell ref="A2:R2"/>
    <mergeCell ref="A3:R3"/>
    <mergeCell ref="A25:R25"/>
  </mergeCells>
  <pageMargins left="0.23622047244094491" right="0.23622047244094491" top="0.47244094488188981" bottom="0.74803149606299213" header="0.31496062992125984" footer="0.31496062992125984"/>
  <pageSetup paperSize="9" scale="75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F51C-3BE0-4D95-81E9-3B8B0C670547}">
  <sheetPr>
    <tabColor rgb="FF7030A0"/>
    <pageSetUpPr fitToPage="1"/>
  </sheetPr>
  <dimension ref="A2:R37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6.85546875" customWidth="1"/>
    <col min="2" max="2" width="9" style="392" bestFit="1" customWidth="1"/>
    <col min="3" max="3" width="9" bestFit="1" customWidth="1"/>
    <col min="4" max="4" width="8.28515625" customWidth="1"/>
    <col min="5" max="5" width="9" bestFit="1" customWidth="1"/>
    <col min="6" max="6" width="10.140625" bestFit="1" customWidth="1"/>
    <col min="7" max="7" width="9" bestFit="1" customWidth="1"/>
    <col min="8" max="8" width="9.7109375" bestFit="1" customWidth="1"/>
    <col min="9" max="9" width="9.5703125" customWidth="1"/>
    <col min="10" max="10" width="9.7109375" bestFit="1" customWidth="1"/>
    <col min="11" max="11" width="9" bestFit="1" customWidth="1"/>
    <col min="12" max="12" width="8.7109375" customWidth="1"/>
    <col min="13" max="13" width="9" bestFit="1" customWidth="1"/>
    <col min="14" max="14" width="8.5703125" customWidth="1"/>
    <col min="15" max="15" width="9" bestFit="1" customWidth="1"/>
    <col min="16" max="16" width="8.28515625" customWidth="1"/>
    <col min="17" max="17" width="9.7109375" customWidth="1"/>
    <col min="18" max="18" width="10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customHeight="1" x14ac:dyDescent="0.25">
      <c r="A5" s="807" t="s">
        <v>342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">
        <v>1</v>
      </c>
    </row>
    <row r="7" spans="1:18" ht="15.75" thickTop="1" x14ac:dyDescent="0.25">
      <c r="A7" s="742" t="s">
        <v>141</v>
      </c>
      <c r="B7" s="741">
        <v>4800</v>
      </c>
      <c r="C7" s="204">
        <v>3967</v>
      </c>
      <c r="D7" s="737">
        <f t="shared" ref="D7:D12" si="0">((C7/$B7))-1</f>
        <v>-0.17354166666666671</v>
      </c>
      <c r="E7" s="204">
        <v>3280</v>
      </c>
      <c r="F7" s="737">
        <f t="shared" ref="F7:F12" si="1">((E7/$B7))-1</f>
        <v>-0.31666666666666665</v>
      </c>
      <c r="G7" s="204">
        <v>4266</v>
      </c>
      <c r="H7" s="740">
        <f t="shared" ref="H7:H12" si="2">((G7/$B7))-1</f>
        <v>-0.11124999999999996</v>
      </c>
      <c r="I7" s="210">
        <f t="shared" ref="I7:I12" si="3">C7+E7+G7</f>
        <v>11513</v>
      </c>
      <c r="J7" s="734">
        <f t="shared" ref="J7:J12" si="4">((I7/(3*$B7)))-1</f>
        <v>-0.20048611111111114</v>
      </c>
      <c r="K7" s="204">
        <v>4263</v>
      </c>
      <c r="L7" s="737">
        <f t="shared" ref="L7:L12" si="5">((K7/$B7))-1</f>
        <v>-0.11187499999999995</v>
      </c>
      <c r="M7" s="204">
        <v>4265</v>
      </c>
      <c r="N7" s="737">
        <f t="shared" ref="N7:N12" si="6">((M7/$B7))-1</f>
        <v>-0.11145833333333333</v>
      </c>
      <c r="O7" s="204">
        <v>4365</v>
      </c>
      <c r="P7" s="740">
        <f t="shared" ref="P7:P12" si="7">((O7/$B7))-1</f>
        <v>-9.0624999999999956E-2</v>
      </c>
      <c r="Q7" s="210">
        <f t="shared" ref="Q7:Q12" si="8">K7+M7+O7</f>
        <v>12893</v>
      </c>
      <c r="R7" s="734">
        <f t="shared" ref="R7:R12" si="9">((Q7/(3*$B7)))-1</f>
        <v>-0.10465277777777782</v>
      </c>
    </row>
    <row r="8" spans="1:18" x14ac:dyDescent="0.25">
      <c r="A8" s="117" t="s">
        <v>142</v>
      </c>
      <c r="B8" s="738">
        <v>1664</v>
      </c>
      <c r="C8" s="736">
        <v>1421</v>
      </c>
      <c r="D8" s="737">
        <f t="shared" si="0"/>
        <v>-0.14603365384615385</v>
      </c>
      <c r="E8" s="736">
        <v>1647</v>
      </c>
      <c r="F8" s="737">
        <f t="shared" si="1"/>
        <v>-1.0216346153846145E-2</v>
      </c>
      <c r="G8" s="736">
        <v>1511</v>
      </c>
      <c r="H8" s="740">
        <f t="shared" si="2"/>
        <v>-9.1947115384615419E-2</v>
      </c>
      <c r="I8" s="210">
        <f t="shared" si="3"/>
        <v>4579</v>
      </c>
      <c r="J8" s="734">
        <f t="shared" si="4"/>
        <v>-8.2732371794871806E-2</v>
      </c>
      <c r="K8" s="736">
        <v>1392</v>
      </c>
      <c r="L8" s="737">
        <f t="shared" si="5"/>
        <v>-0.16346153846153844</v>
      </c>
      <c r="M8" s="736">
        <v>1108</v>
      </c>
      <c r="N8" s="737">
        <f t="shared" si="6"/>
        <v>-0.33413461538461542</v>
      </c>
      <c r="O8" s="736">
        <v>1071</v>
      </c>
      <c r="P8" s="740">
        <f t="shared" si="7"/>
        <v>-0.35637019230769229</v>
      </c>
      <c r="Q8" s="210">
        <f t="shared" si="8"/>
        <v>3571</v>
      </c>
      <c r="R8" s="734">
        <f t="shared" si="9"/>
        <v>-0.28465544871794868</v>
      </c>
    </row>
    <row r="9" spans="1:18" x14ac:dyDescent="0.25">
      <c r="A9" s="117" t="s">
        <v>12</v>
      </c>
      <c r="B9" s="738">
        <v>624</v>
      </c>
      <c r="C9" s="736">
        <v>507</v>
      </c>
      <c r="D9" s="737">
        <f t="shared" si="0"/>
        <v>-0.1875</v>
      </c>
      <c r="E9" s="736">
        <v>482</v>
      </c>
      <c r="F9" s="737">
        <f t="shared" si="1"/>
        <v>-0.22756410256410253</v>
      </c>
      <c r="G9" s="736">
        <v>584</v>
      </c>
      <c r="H9" s="740">
        <f t="shared" si="2"/>
        <v>-6.4102564102564097E-2</v>
      </c>
      <c r="I9" s="210">
        <f t="shared" si="3"/>
        <v>1573</v>
      </c>
      <c r="J9" s="734">
        <f t="shared" si="4"/>
        <v>-0.15972222222222221</v>
      </c>
      <c r="K9" s="736">
        <v>497</v>
      </c>
      <c r="L9" s="737">
        <f t="shared" si="5"/>
        <v>-0.20352564102564108</v>
      </c>
      <c r="M9" s="736">
        <v>553</v>
      </c>
      <c r="N9" s="737">
        <f t="shared" si="6"/>
        <v>-0.11378205128205132</v>
      </c>
      <c r="O9" s="736">
        <v>464</v>
      </c>
      <c r="P9" s="740">
        <f t="shared" si="7"/>
        <v>-0.25641025641025639</v>
      </c>
      <c r="Q9" s="210">
        <f t="shared" si="8"/>
        <v>1514</v>
      </c>
      <c r="R9" s="734">
        <f t="shared" si="9"/>
        <v>-0.19123931623931623</v>
      </c>
    </row>
    <row r="10" spans="1:18" ht="24" x14ac:dyDescent="0.25">
      <c r="A10" s="851" t="s">
        <v>189</v>
      </c>
      <c r="B10" s="738">
        <v>216</v>
      </c>
      <c r="C10" s="736">
        <v>216</v>
      </c>
      <c r="D10" s="737">
        <f t="shared" si="0"/>
        <v>0</v>
      </c>
      <c r="E10" s="736">
        <v>143</v>
      </c>
      <c r="F10" s="737">
        <f t="shared" si="1"/>
        <v>-0.33796296296296291</v>
      </c>
      <c r="G10" s="736">
        <v>0</v>
      </c>
      <c r="H10" s="740">
        <f t="shared" si="2"/>
        <v>-1</v>
      </c>
      <c r="I10" s="210">
        <f t="shared" si="3"/>
        <v>359</v>
      </c>
      <c r="J10" s="734">
        <f t="shared" si="4"/>
        <v>-0.44598765432098764</v>
      </c>
      <c r="K10" s="736">
        <v>0</v>
      </c>
      <c r="L10" s="737">
        <f t="shared" si="5"/>
        <v>-1</v>
      </c>
      <c r="M10" s="736">
        <v>16</v>
      </c>
      <c r="N10" s="737">
        <f t="shared" si="6"/>
        <v>-0.92592592592592593</v>
      </c>
      <c r="O10" s="736">
        <v>252</v>
      </c>
      <c r="P10" s="740">
        <f t="shared" si="7"/>
        <v>0.16666666666666674</v>
      </c>
      <c r="Q10" s="210">
        <f t="shared" si="8"/>
        <v>268</v>
      </c>
      <c r="R10" s="734">
        <f t="shared" si="9"/>
        <v>-0.58641975308641969</v>
      </c>
    </row>
    <row r="11" spans="1:18" ht="15.75" thickBot="1" x14ac:dyDescent="0.3">
      <c r="A11" s="117" t="s">
        <v>4</v>
      </c>
      <c r="B11" s="738">
        <v>756</v>
      </c>
      <c r="C11" s="736">
        <v>610</v>
      </c>
      <c r="D11" s="737">
        <f t="shared" si="0"/>
        <v>-0.19312169312169314</v>
      </c>
      <c r="E11" s="736">
        <v>442</v>
      </c>
      <c r="F11" s="737">
        <f t="shared" si="1"/>
        <v>-0.41534391534391535</v>
      </c>
      <c r="G11" s="736">
        <v>0</v>
      </c>
      <c r="H11" s="740">
        <f t="shared" si="2"/>
        <v>-1</v>
      </c>
      <c r="I11" s="210">
        <f t="shared" si="3"/>
        <v>1052</v>
      </c>
      <c r="J11" s="734">
        <f t="shared" si="4"/>
        <v>-0.53615520282186946</v>
      </c>
      <c r="K11" s="736">
        <v>0</v>
      </c>
      <c r="L11" s="737">
        <f t="shared" si="5"/>
        <v>-1</v>
      </c>
      <c r="M11" s="736">
        <v>48</v>
      </c>
      <c r="N11" s="737">
        <f t="shared" si="6"/>
        <v>-0.93650793650793651</v>
      </c>
      <c r="O11" s="736">
        <v>973</v>
      </c>
      <c r="P11" s="740">
        <f t="shared" si="7"/>
        <v>0.28703703703703698</v>
      </c>
      <c r="Q11" s="210">
        <f t="shared" si="8"/>
        <v>1021</v>
      </c>
      <c r="R11" s="734">
        <f t="shared" si="9"/>
        <v>-0.54982363315696647</v>
      </c>
    </row>
    <row r="12" spans="1:18" ht="15.75" thickBot="1" x14ac:dyDescent="0.3">
      <c r="A12" s="50" t="s">
        <v>2</v>
      </c>
      <c r="B12" s="52">
        <f>SUM(B7:B11)</f>
        <v>8060</v>
      </c>
      <c r="C12" s="54">
        <f>SUM(C7:C11)</f>
        <v>6721</v>
      </c>
      <c r="D12" s="59">
        <f t="shared" si="0"/>
        <v>-0.16612903225806452</v>
      </c>
      <c r="E12" s="54">
        <f>SUM(E7:E11)</f>
        <v>5994</v>
      </c>
      <c r="F12" s="59">
        <f t="shared" si="1"/>
        <v>-0.25632754342431763</v>
      </c>
      <c r="G12" s="54">
        <f>SUM(G7:G11)</f>
        <v>6361</v>
      </c>
      <c r="H12" s="126">
        <f t="shared" si="2"/>
        <v>-0.21079404466501239</v>
      </c>
      <c r="I12" s="53">
        <f t="shared" si="3"/>
        <v>19076</v>
      </c>
      <c r="J12" s="60">
        <f t="shared" si="4"/>
        <v>-0.21108354011579822</v>
      </c>
      <c r="K12" s="54">
        <f>SUM(K7:K11)</f>
        <v>6152</v>
      </c>
      <c r="L12" s="59">
        <f t="shared" si="5"/>
        <v>-0.23672456575682377</v>
      </c>
      <c r="M12" s="54">
        <f>SUM(M7:M11)</f>
        <v>5990</v>
      </c>
      <c r="N12" s="59">
        <f t="shared" si="6"/>
        <v>-0.25682382133995041</v>
      </c>
      <c r="O12" s="54">
        <f>SUM(O7:O11)</f>
        <v>7125</v>
      </c>
      <c r="P12" s="126">
        <f t="shared" si="7"/>
        <v>-0.11600496277915628</v>
      </c>
      <c r="Q12" s="53">
        <f t="shared" si="8"/>
        <v>19267</v>
      </c>
      <c r="R12" s="60">
        <f t="shared" si="9"/>
        <v>-0.20318444995864349</v>
      </c>
    </row>
    <row r="13" spans="1:18" hidden="1" x14ac:dyDescent="0.25"/>
    <row r="14" spans="1:18" ht="15" hidden="1" customHeight="1" x14ac:dyDescent="0.25"/>
    <row r="15" spans="1:18" ht="15.75" hidden="1" customHeight="1" x14ac:dyDescent="0.25">
      <c r="A15" s="807" t="s">
        <v>343</v>
      </c>
      <c r="B15" s="805"/>
      <c r="C15" s="805"/>
      <c r="D15" s="805"/>
      <c r="E15" s="805"/>
      <c r="F15" s="805"/>
      <c r="G15" s="805"/>
      <c r="H15" s="805"/>
      <c r="I15" s="805"/>
      <c r="J15" s="805"/>
      <c r="K15" s="805"/>
      <c r="L15" s="805"/>
      <c r="M15" s="805"/>
      <c r="N15" s="805"/>
      <c r="O15" s="805"/>
      <c r="P15" s="805"/>
      <c r="Q15" s="805"/>
      <c r="R15" s="805"/>
    </row>
    <row r="16" spans="1:18" ht="24" hidden="1" customHeight="1" x14ac:dyDescent="0.25">
      <c r="A16" s="465" t="s">
        <v>8</v>
      </c>
      <c r="B16" s="466" t="s">
        <v>9</v>
      </c>
      <c r="C16" s="465" t="str">
        <f>'UBS Vila Dalva 2º SEM'!C6</f>
        <v>JUL</v>
      </c>
      <c r="D16" s="467" t="str">
        <f>'UBS Vila Dalva 2º SEM'!D6</f>
        <v>%</v>
      </c>
      <c r="E16" s="465" t="str">
        <f>'UBS Vila Dalva 2º SEM'!E6</f>
        <v>AGO</v>
      </c>
      <c r="F16" s="467" t="str">
        <f>'UBS Vila Dalva 2º SEM'!F6</f>
        <v>%</v>
      </c>
      <c r="G16" s="465" t="str">
        <f>'UBS Vila Dalva 2º SEM'!G6</f>
        <v>SET</v>
      </c>
      <c r="H16" s="467" t="str">
        <f>'UBS Vila Dalva 2º SEM'!H6</f>
        <v>%</v>
      </c>
      <c r="I16" s="468" t="str">
        <f>'UBS Vila Dalva 2º SEM'!I6</f>
        <v>Trimestre</v>
      </c>
      <c r="J16" s="468" t="str">
        <f>'UBS Vila Dalva 2º SEM'!J6</f>
        <v>%</v>
      </c>
      <c r="K16" s="465" t="str">
        <f>'UBS Vila Dalva 2º SEM'!K6</f>
        <v>OUT</v>
      </c>
      <c r="L16" s="467" t="str">
        <f>'UBS Vila Dalva 2º SEM'!L6</f>
        <v>%</v>
      </c>
      <c r="M16" s="465" t="str">
        <f>'UBS Vila Dalva 2º SEM'!M6</f>
        <v>NOV</v>
      </c>
      <c r="N16" s="467" t="str">
        <f>'UBS Vila Dalva 2º SEM'!N6</f>
        <v>%</v>
      </c>
      <c r="O16" s="465" t="str">
        <f>'UBS Vila Dalva 2º SEM'!O6</f>
        <v>DEZ</v>
      </c>
      <c r="P16" s="467" t="str">
        <f>'UBS Vila Dalva 2º SEM'!P6</f>
        <v>%</v>
      </c>
      <c r="Q16" s="468" t="str">
        <f>'UBS Vila Dalva 2º SEM'!Q6</f>
        <v>Trimestre</v>
      </c>
      <c r="R16" s="468" t="str">
        <f>'UBS Vila Dalva 2º SEM'!R6</f>
        <v>%</v>
      </c>
    </row>
    <row r="17" spans="1:18" ht="15" hidden="1" customHeight="1" x14ac:dyDescent="0.25">
      <c r="A17" s="310" t="s">
        <v>143</v>
      </c>
      <c r="B17" s="315">
        <v>24</v>
      </c>
      <c r="C17" s="311">
        <v>24</v>
      </c>
      <c r="D17" s="339">
        <f t="shared" ref="D17:D22" si="10">((C17/$B17))-1</f>
        <v>0</v>
      </c>
      <c r="E17" s="311">
        <v>24</v>
      </c>
      <c r="F17" s="339">
        <f t="shared" ref="F17:F22" si="11">((E17/$B17))-1</f>
        <v>0</v>
      </c>
      <c r="G17" s="311">
        <v>24</v>
      </c>
      <c r="H17" s="339">
        <f t="shared" ref="H17:H22" si="12">((G17/$B17))-1</f>
        <v>0</v>
      </c>
      <c r="I17" s="313">
        <f t="shared" ref="I17:I22" si="13">C17+E17+G17</f>
        <v>72</v>
      </c>
      <c r="J17" s="340">
        <f t="shared" ref="J17:J22" si="14">((I17/(3*$B17)))-1</f>
        <v>0</v>
      </c>
      <c r="K17" s="311">
        <v>24</v>
      </c>
      <c r="L17" s="339">
        <f t="shared" ref="L17:L22" si="15">((K17/$B17))-1</f>
        <v>0</v>
      </c>
      <c r="M17" s="311"/>
      <c r="N17" s="339">
        <f t="shared" ref="N17:N22" si="16">((M17/$B17))-1</f>
        <v>-1</v>
      </c>
      <c r="O17" s="469"/>
      <c r="P17" s="339">
        <f t="shared" ref="P17:P22" si="17">((O17/$B17))-1</f>
        <v>-1</v>
      </c>
      <c r="Q17" s="313">
        <f t="shared" ref="Q17:Q22" si="18">K17+M17+O17</f>
        <v>24</v>
      </c>
      <c r="R17" s="340">
        <f t="shared" ref="R17:R22" si="19">((Q17/(3*$B17)))-1</f>
        <v>-0.66666666666666674</v>
      </c>
    </row>
    <row r="18" spans="1:18" ht="15" hidden="1" customHeight="1" x14ac:dyDescent="0.25">
      <c r="A18" s="310" t="s">
        <v>144</v>
      </c>
      <c r="B18" s="315">
        <v>4</v>
      </c>
      <c r="C18" s="311">
        <v>4</v>
      </c>
      <c r="D18" s="339">
        <f t="shared" si="10"/>
        <v>0</v>
      </c>
      <c r="E18" s="311">
        <v>4</v>
      </c>
      <c r="F18" s="339">
        <f t="shared" si="11"/>
        <v>0</v>
      </c>
      <c r="G18" s="311">
        <v>3</v>
      </c>
      <c r="H18" s="339">
        <f t="shared" si="12"/>
        <v>-0.25</v>
      </c>
      <c r="I18" s="313">
        <f t="shared" si="13"/>
        <v>11</v>
      </c>
      <c r="J18" s="340">
        <f t="shared" si="14"/>
        <v>-8.333333333333337E-2</v>
      </c>
      <c r="K18" s="311">
        <v>3</v>
      </c>
      <c r="L18" s="339">
        <f t="shared" si="15"/>
        <v>-0.25</v>
      </c>
      <c r="M18" s="311"/>
      <c r="N18" s="339">
        <f t="shared" si="16"/>
        <v>-1</v>
      </c>
      <c r="O18" s="311"/>
      <c r="P18" s="339">
        <f t="shared" si="17"/>
        <v>-1</v>
      </c>
      <c r="Q18" s="313">
        <f t="shared" si="18"/>
        <v>3</v>
      </c>
      <c r="R18" s="340">
        <f t="shared" si="19"/>
        <v>-0.75</v>
      </c>
    </row>
    <row r="19" spans="1:18" ht="15" hidden="1" customHeight="1" x14ac:dyDescent="0.25">
      <c r="A19" s="310" t="s">
        <v>146</v>
      </c>
      <c r="B19" s="315">
        <v>4</v>
      </c>
      <c r="C19" s="311">
        <v>4</v>
      </c>
      <c r="D19" s="339">
        <f t="shared" si="10"/>
        <v>0</v>
      </c>
      <c r="E19" s="311">
        <v>4</v>
      </c>
      <c r="F19" s="339">
        <f t="shared" si="11"/>
        <v>0</v>
      </c>
      <c r="G19" s="311">
        <v>4</v>
      </c>
      <c r="H19" s="339">
        <f t="shared" si="12"/>
        <v>0</v>
      </c>
      <c r="I19" s="313">
        <f t="shared" si="13"/>
        <v>12</v>
      </c>
      <c r="J19" s="340">
        <f t="shared" si="14"/>
        <v>0</v>
      </c>
      <c r="K19" s="311">
        <v>3</v>
      </c>
      <c r="L19" s="339">
        <f t="shared" si="15"/>
        <v>-0.25</v>
      </c>
      <c r="M19" s="311"/>
      <c r="N19" s="339">
        <f t="shared" si="16"/>
        <v>-1</v>
      </c>
      <c r="O19" s="311"/>
      <c r="P19" s="339">
        <f t="shared" si="17"/>
        <v>-1</v>
      </c>
      <c r="Q19" s="313">
        <f t="shared" si="18"/>
        <v>3</v>
      </c>
      <c r="R19" s="340">
        <f t="shared" si="19"/>
        <v>-0.75</v>
      </c>
    </row>
    <row r="20" spans="1:18" ht="15" hidden="1" customHeight="1" x14ac:dyDescent="0.25">
      <c r="A20" s="310" t="s">
        <v>147</v>
      </c>
      <c r="B20" s="315">
        <v>1</v>
      </c>
      <c r="C20" s="311">
        <v>1</v>
      </c>
      <c r="D20" s="339">
        <f t="shared" si="10"/>
        <v>0</v>
      </c>
      <c r="E20" s="311">
        <v>1</v>
      </c>
      <c r="F20" s="339">
        <f t="shared" si="11"/>
        <v>0</v>
      </c>
      <c r="G20" s="311">
        <v>1</v>
      </c>
      <c r="H20" s="339">
        <f t="shared" si="12"/>
        <v>0</v>
      </c>
      <c r="I20" s="313">
        <f t="shared" si="13"/>
        <v>3</v>
      </c>
      <c r="J20" s="340">
        <f t="shared" si="14"/>
        <v>0</v>
      </c>
      <c r="K20" s="311">
        <v>0</v>
      </c>
      <c r="L20" s="339">
        <f t="shared" si="15"/>
        <v>-1</v>
      </c>
      <c r="M20" s="311"/>
      <c r="N20" s="339">
        <f t="shared" si="16"/>
        <v>-1</v>
      </c>
      <c r="O20" s="311"/>
      <c r="P20" s="339">
        <f t="shared" si="17"/>
        <v>-1</v>
      </c>
      <c r="Q20" s="313">
        <f t="shared" si="18"/>
        <v>0</v>
      </c>
      <c r="R20" s="340">
        <f t="shared" si="19"/>
        <v>-1</v>
      </c>
    </row>
    <row r="21" spans="1:18" ht="15" hidden="1" customHeight="1" x14ac:dyDescent="0.25">
      <c r="A21" s="310" t="s">
        <v>193</v>
      </c>
      <c r="B21" s="315">
        <v>1</v>
      </c>
      <c r="C21" s="311">
        <v>0</v>
      </c>
      <c r="D21" s="339">
        <f t="shared" si="10"/>
        <v>-1</v>
      </c>
      <c r="E21" s="311">
        <v>0</v>
      </c>
      <c r="F21" s="339">
        <f t="shared" si="11"/>
        <v>-1</v>
      </c>
      <c r="G21" s="311">
        <v>0</v>
      </c>
      <c r="H21" s="339">
        <f t="shared" si="12"/>
        <v>-1</v>
      </c>
      <c r="I21" s="313">
        <f t="shared" si="13"/>
        <v>0</v>
      </c>
      <c r="J21" s="340">
        <f t="shared" si="14"/>
        <v>-1</v>
      </c>
      <c r="K21" s="311">
        <v>0</v>
      </c>
      <c r="L21" s="339">
        <f t="shared" si="15"/>
        <v>-1</v>
      </c>
      <c r="M21" s="311"/>
      <c r="N21" s="339">
        <f t="shared" si="16"/>
        <v>-1</v>
      </c>
      <c r="O21" s="311"/>
      <c r="P21" s="339">
        <f t="shared" si="17"/>
        <v>-1</v>
      </c>
      <c r="Q21" s="313">
        <f t="shared" si="18"/>
        <v>0</v>
      </c>
      <c r="R21" s="340">
        <f t="shared" si="19"/>
        <v>-1</v>
      </c>
    </row>
    <row r="22" spans="1:18" ht="15" hidden="1" customHeight="1" x14ac:dyDescent="0.25">
      <c r="A22" s="470" t="s">
        <v>2</v>
      </c>
      <c r="B22" s="315">
        <f>SUM(B17:B21)</f>
        <v>34</v>
      </c>
      <c r="C22" s="471">
        <f>SUM(C17:C21)</f>
        <v>33</v>
      </c>
      <c r="D22" s="314">
        <f t="shared" si="10"/>
        <v>-2.9411764705882359E-2</v>
      </c>
      <c r="E22" s="471">
        <f>SUM(E17:E21)</f>
        <v>33</v>
      </c>
      <c r="F22" s="314">
        <f t="shared" si="11"/>
        <v>-2.9411764705882359E-2</v>
      </c>
      <c r="G22" s="471">
        <f>SUM(G17:G21)</f>
        <v>32</v>
      </c>
      <c r="H22" s="314">
        <f t="shared" si="12"/>
        <v>-5.8823529411764719E-2</v>
      </c>
      <c r="I22" s="313">
        <f t="shared" si="13"/>
        <v>98</v>
      </c>
      <c r="J22" s="340">
        <f t="shared" si="14"/>
        <v>-3.9215686274509776E-2</v>
      </c>
      <c r="K22" s="471">
        <f>SUM(K17:K21)</f>
        <v>30</v>
      </c>
      <c r="L22" s="314">
        <f t="shared" si="15"/>
        <v>-0.11764705882352944</v>
      </c>
      <c r="M22" s="471">
        <f>SUM(M17:M21)</f>
        <v>0</v>
      </c>
      <c r="N22" s="314">
        <f t="shared" si="16"/>
        <v>-1</v>
      </c>
      <c r="O22" s="471">
        <f>SUM(O17:O21)</f>
        <v>0</v>
      </c>
      <c r="P22" s="314">
        <f t="shared" si="17"/>
        <v>-1</v>
      </c>
      <c r="Q22" s="313">
        <f t="shared" si="18"/>
        <v>30</v>
      </c>
      <c r="R22" s="340">
        <f t="shared" si="19"/>
        <v>-0.70588235294117641</v>
      </c>
    </row>
    <row r="23" spans="1:18" ht="15" hidden="1" customHeight="1" x14ac:dyDescent="0.25"/>
    <row r="24" spans="1:18" ht="15" hidden="1" customHeight="1" x14ac:dyDescent="0.25">
      <c r="K24" s="13"/>
      <c r="L24" s="286"/>
    </row>
    <row r="25" spans="1:18" ht="15.75" hidden="1" customHeight="1" x14ac:dyDescent="0.25">
      <c r="A25" s="808" t="s">
        <v>344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</row>
    <row r="26" spans="1:18" ht="24.75" hidden="1" customHeight="1" thickBot="1" x14ac:dyDescent="0.3">
      <c r="A26" s="122" t="s">
        <v>8</v>
      </c>
      <c r="B26" s="121" t="str">
        <f t="shared" ref="B26:R26" si="20">B16</f>
        <v>Meta / Mês</v>
      </c>
      <c r="C26" s="122" t="str">
        <f t="shared" si="20"/>
        <v>JUL</v>
      </c>
      <c r="D26" s="123" t="str">
        <f t="shared" si="20"/>
        <v>%</v>
      </c>
      <c r="E26" s="122" t="str">
        <f t="shared" si="20"/>
        <v>AGO</v>
      </c>
      <c r="F26" s="123" t="str">
        <f t="shared" si="20"/>
        <v>%</v>
      </c>
      <c r="G26" s="122" t="str">
        <f t="shared" si="20"/>
        <v>SET</v>
      </c>
      <c r="H26" s="123" t="str">
        <f t="shared" si="20"/>
        <v>%</v>
      </c>
      <c r="I26" s="124" t="str">
        <f t="shared" si="20"/>
        <v>Trimestre</v>
      </c>
      <c r="J26" s="124" t="str">
        <f t="shared" si="20"/>
        <v>%</v>
      </c>
      <c r="K26" s="122" t="str">
        <f t="shared" si="20"/>
        <v>OUT</v>
      </c>
      <c r="L26" s="123" t="str">
        <f t="shared" si="20"/>
        <v>%</v>
      </c>
      <c r="M26" s="122" t="str">
        <f t="shared" si="20"/>
        <v>NOV</v>
      </c>
      <c r="N26" s="123" t="str">
        <f t="shared" si="20"/>
        <v>%</v>
      </c>
      <c r="O26" s="122" t="str">
        <f t="shared" si="20"/>
        <v>DEZ</v>
      </c>
      <c r="P26" s="123" t="str">
        <f t="shared" si="20"/>
        <v>%</v>
      </c>
      <c r="Q26" s="124" t="str">
        <f t="shared" si="20"/>
        <v>Trimestre</v>
      </c>
      <c r="R26" s="124" t="str">
        <f t="shared" si="20"/>
        <v>%</v>
      </c>
    </row>
    <row r="27" spans="1:18" ht="15.75" hidden="1" customHeight="1" thickTop="1" x14ac:dyDescent="0.25">
      <c r="A27" s="739" t="s">
        <v>155</v>
      </c>
      <c r="B27" s="738">
        <v>1</v>
      </c>
      <c r="C27" s="736">
        <v>1</v>
      </c>
      <c r="D27" s="735">
        <f>$D$32</f>
        <v>-0.5</v>
      </c>
      <c r="E27" s="736">
        <v>1</v>
      </c>
      <c r="F27" s="735">
        <f>$D$32</f>
        <v>-0.5</v>
      </c>
      <c r="G27" s="736">
        <v>1</v>
      </c>
      <c r="H27" s="735">
        <f>$D$32</f>
        <v>-0.5</v>
      </c>
      <c r="I27" s="210">
        <f t="shared" ref="I27:I36" si="21">C27+E27+G27</f>
        <v>3</v>
      </c>
      <c r="J27" s="734">
        <f t="shared" ref="J27:J36" si="22">((I27/(3*$B27)))-1</f>
        <v>0</v>
      </c>
      <c r="K27" s="736">
        <v>1</v>
      </c>
      <c r="L27" s="737">
        <f t="shared" ref="L27:L33" si="23">((K27/$B27))-1</f>
        <v>0</v>
      </c>
      <c r="M27" s="736"/>
      <c r="N27" s="735">
        <f>$D$32</f>
        <v>-0.5</v>
      </c>
      <c r="O27" s="736"/>
      <c r="P27" s="735">
        <f>$D$32</f>
        <v>-0.5</v>
      </c>
      <c r="Q27" s="210">
        <f t="shared" ref="Q27:Q36" si="24">K27+M27+O27</f>
        <v>1</v>
      </c>
      <c r="R27" s="734">
        <f t="shared" ref="R27:R33" si="25">((Q27/(3*$B27)))-1</f>
        <v>-0.66666666666666674</v>
      </c>
    </row>
    <row r="28" spans="1:18" ht="15" hidden="1" customHeight="1" x14ac:dyDescent="0.25">
      <c r="A28" s="739" t="s">
        <v>150</v>
      </c>
      <c r="B28" s="738">
        <v>2</v>
      </c>
      <c r="C28" s="736">
        <v>2</v>
      </c>
      <c r="D28" s="735">
        <f>$D$32</f>
        <v>-0.5</v>
      </c>
      <c r="E28" s="736">
        <v>2</v>
      </c>
      <c r="F28" s="735">
        <f>$D$32</f>
        <v>-0.5</v>
      </c>
      <c r="G28" s="736">
        <v>2</v>
      </c>
      <c r="H28" s="735">
        <f>$D$32</f>
        <v>-0.5</v>
      </c>
      <c r="I28" s="210">
        <f t="shared" si="21"/>
        <v>6</v>
      </c>
      <c r="J28" s="734">
        <f t="shared" si="22"/>
        <v>0</v>
      </c>
      <c r="K28" s="736">
        <v>2</v>
      </c>
      <c r="L28" s="737">
        <f t="shared" si="23"/>
        <v>0</v>
      </c>
      <c r="M28" s="736"/>
      <c r="N28" s="735">
        <f>$D$32</f>
        <v>-0.5</v>
      </c>
      <c r="O28" s="736"/>
      <c r="P28" s="735">
        <f>$D$32</f>
        <v>-0.5</v>
      </c>
      <c r="Q28" s="210">
        <f t="shared" si="24"/>
        <v>2</v>
      </c>
      <c r="R28" s="734">
        <f t="shared" si="25"/>
        <v>-0.66666666666666674</v>
      </c>
    </row>
    <row r="29" spans="1:18" ht="15" hidden="1" customHeight="1" x14ac:dyDescent="0.25">
      <c r="A29" s="739" t="s">
        <v>151</v>
      </c>
      <c r="B29" s="738">
        <v>1</v>
      </c>
      <c r="C29" s="736">
        <v>0</v>
      </c>
      <c r="D29" s="735">
        <f>$D$32</f>
        <v>-0.5</v>
      </c>
      <c r="E29" s="736">
        <v>0</v>
      </c>
      <c r="F29" s="735">
        <f>$D$32</f>
        <v>-0.5</v>
      </c>
      <c r="G29" s="736">
        <v>0</v>
      </c>
      <c r="H29" s="735">
        <f>$D$32</f>
        <v>-0.5</v>
      </c>
      <c r="I29" s="210">
        <f t="shared" si="21"/>
        <v>0</v>
      </c>
      <c r="J29" s="734">
        <f t="shared" si="22"/>
        <v>-1</v>
      </c>
      <c r="K29" s="736">
        <v>0</v>
      </c>
      <c r="L29" s="737">
        <f t="shared" si="23"/>
        <v>-1</v>
      </c>
      <c r="M29" s="736"/>
      <c r="N29" s="735">
        <f>$D$32</f>
        <v>-0.5</v>
      </c>
      <c r="O29" s="736"/>
      <c r="P29" s="735">
        <f>$D$32</f>
        <v>-0.5</v>
      </c>
      <c r="Q29" s="210">
        <f t="shared" si="24"/>
        <v>0</v>
      </c>
      <c r="R29" s="734">
        <f t="shared" si="25"/>
        <v>-1</v>
      </c>
    </row>
    <row r="30" spans="1:18" ht="15" hidden="1" customHeight="1" x14ac:dyDescent="0.25">
      <c r="A30" s="739" t="s">
        <v>156</v>
      </c>
      <c r="B30" s="738">
        <v>1</v>
      </c>
      <c r="C30" s="736">
        <v>0</v>
      </c>
      <c r="D30" s="735">
        <f>$D$32</f>
        <v>-0.5</v>
      </c>
      <c r="E30" s="736">
        <v>0</v>
      </c>
      <c r="F30" s="735">
        <f>$D$32</f>
        <v>-0.5</v>
      </c>
      <c r="G30" s="736">
        <v>0</v>
      </c>
      <c r="H30" s="735">
        <f>$D$32</f>
        <v>-0.5</v>
      </c>
      <c r="I30" s="210">
        <f t="shared" si="21"/>
        <v>0</v>
      </c>
      <c r="J30" s="734">
        <f t="shared" si="22"/>
        <v>-1</v>
      </c>
      <c r="K30" s="736">
        <v>0</v>
      </c>
      <c r="L30" s="737">
        <f t="shared" si="23"/>
        <v>-1</v>
      </c>
      <c r="M30" s="736"/>
      <c r="N30" s="735">
        <f>$D$32</f>
        <v>-0.5</v>
      </c>
      <c r="O30" s="736"/>
      <c r="P30" s="735">
        <f>$D$32</f>
        <v>-0.5</v>
      </c>
      <c r="Q30" s="210">
        <f t="shared" si="24"/>
        <v>0</v>
      </c>
      <c r="R30" s="734">
        <f t="shared" si="25"/>
        <v>-1</v>
      </c>
    </row>
    <row r="31" spans="1:18" ht="15" hidden="1" customHeight="1" x14ac:dyDescent="0.25">
      <c r="A31" s="739" t="s">
        <v>152</v>
      </c>
      <c r="B31" s="738">
        <v>1</v>
      </c>
      <c r="C31" s="736">
        <v>0</v>
      </c>
      <c r="D31" s="735">
        <f>$D$32</f>
        <v>-0.5</v>
      </c>
      <c r="E31" s="736">
        <v>0</v>
      </c>
      <c r="F31" s="735">
        <f>((E31/$B$27))-1</f>
        <v>-1</v>
      </c>
      <c r="G31" s="736">
        <v>0</v>
      </c>
      <c r="H31" s="735">
        <f>((G31/$B$27))-1</f>
        <v>-1</v>
      </c>
      <c r="I31" s="210">
        <f t="shared" si="21"/>
        <v>0</v>
      </c>
      <c r="J31" s="734">
        <f t="shared" si="22"/>
        <v>-1</v>
      </c>
      <c r="K31" s="736">
        <v>0</v>
      </c>
      <c r="L31" s="737">
        <f t="shared" si="23"/>
        <v>-1</v>
      </c>
      <c r="M31" s="736"/>
      <c r="N31" s="735">
        <f>((M31/$B$27))-1</f>
        <v>-1</v>
      </c>
      <c r="O31" s="736"/>
      <c r="P31" s="735">
        <f>((O31/$B$27))-1</f>
        <v>-1</v>
      </c>
      <c r="Q31" s="210">
        <f t="shared" si="24"/>
        <v>0</v>
      </c>
      <c r="R31" s="734">
        <f t="shared" si="25"/>
        <v>-1</v>
      </c>
    </row>
    <row r="32" spans="1:18" ht="15" hidden="1" customHeight="1" x14ac:dyDescent="0.25">
      <c r="A32" s="356" t="s">
        <v>157</v>
      </c>
      <c r="B32" s="394">
        <v>1</v>
      </c>
      <c r="C32" s="357">
        <v>1</v>
      </c>
      <c r="D32" s="358">
        <f>((C32/$B$28))-1</f>
        <v>-0.5</v>
      </c>
      <c r="E32" s="357">
        <v>1</v>
      </c>
      <c r="F32" s="358">
        <f>((E32/$B$28))-1</f>
        <v>-0.5</v>
      </c>
      <c r="G32" s="357">
        <v>0</v>
      </c>
      <c r="H32" s="358">
        <f>((G32/$B$28))-1</f>
        <v>-1</v>
      </c>
      <c r="I32" s="359">
        <f t="shared" si="21"/>
        <v>2</v>
      </c>
      <c r="J32" s="360">
        <f t="shared" si="22"/>
        <v>-0.33333333333333337</v>
      </c>
      <c r="K32" s="357">
        <v>0</v>
      </c>
      <c r="L32" s="358">
        <f t="shared" si="23"/>
        <v>-1</v>
      </c>
      <c r="M32" s="357"/>
      <c r="N32" s="358">
        <f>((M32/$B$28))-1</f>
        <v>-1</v>
      </c>
      <c r="O32" s="357"/>
      <c r="P32" s="358">
        <f>((O32/$B$28))-1</f>
        <v>-1</v>
      </c>
      <c r="Q32" s="359">
        <f t="shared" si="24"/>
        <v>0</v>
      </c>
      <c r="R32" s="360">
        <f t="shared" si="25"/>
        <v>-1</v>
      </c>
    </row>
    <row r="33" spans="1:18" ht="15" hidden="1" customHeight="1" x14ac:dyDescent="0.25">
      <c r="A33" s="361" t="s">
        <v>14</v>
      </c>
      <c r="B33" s="395">
        <v>1</v>
      </c>
      <c r="C33" s="362">
        <v>1</v>
      </c>
      <c r="D33" s="363">
        <f>((C33/$B$29))-1</f>
        <v>0</v>
      </c>
      <c r="E33" s="362">
        <v>1</v>
      </c>
      <c r="F33" s="363">
        <f>((E33/$B$29))-1</f>
        <v>0</v>
      </c>
      <c r="G33" s="362">
        <v>1</v>
      </c>
      <c r="H33" s="363">
        <f>((G33/$B$29))-1</f>
        <v>0</v>
      </c>
      <c r="I33" s="364">
        <f t="shared" si="21"/>
        <v>3</v>
      </c>
      <c r="J33" s="365">
        <f t="shared" si="22"/>
        <v>0</v>
      </c>
      <c r="K33" s="362">
        <v>0</v>
      </c>
      <c r="L33" s="363">
        <f t="shared" si="23"/>
        <v>-1</v>
      </c>
      <c r="M33" s="362"/>
      <c r="N33" s="363">
        <f>((M33/$B$29))-1</f>
        <v>-1</v>
      </c>
      <c r="O33" s="362"/>
      <c r="P33" s="363">
        <f>((O33/$B$29))-1</f>
        <v>-1</v>
      </c>
      <c r="Q33" s="364">
        <f t="shared" si="24"/>
        <v>0</v>
      </c>
      <c r="R33" s="365">
        <f t="shared" si="25"/>
        <v>-1</v>
      </c>
    </row>
    <row r="34" spans="1:18" ht="15" hidden="1" customHeight="1" x14ac:dyDescent="0.25">
      <c r="A34" s="361" t="s">
        <v>153</v>
      </c>
      <c r="B34" s="395">
        <v>1</v>
      </c>
      <c r="C34" s="362">
        <v>1</v>
      </c>
      <c r="D34" s="363">
        <f>D33</f>
        <v>0</v>
      </c>
      <c r="E34" s="362">
        <v>1</v>
      </c>
      <c r="F34" s="363">
        <f>$F$33</f>
        <v>0</v>
      </c>
      <c r="G34" s="362">
        <v>1</v>
      </c>
      <c r="H34" s="363">
        <f>$F$33</f>
        <v>0</v>
      </c>
      <c r="I34" s="364">
        <f t="shared" si="21"/>
        <v>3</v>
      </c>
      <c r="J34" s="365">
        <f t="shared" si="22"/>
        <v>0</v>
      </c>
      <c r="K34" s="362">
        <v>1</v>
      </c>
      <c r="L34" s="363">
        <f>$F$33</f>
        <v>0</v>
      </c>
      <c r="M34" s="362"/>
      <c r="N34" s="363">
        <f>$F$33</f>
        <v>0</v>
      </c>
      <c r="O34" s="362"/>
      <c r="P34" s="363">
        <f>$F$33</f>
        <v>0</v>
      </c>
      <c r="Q34" s="364">
        <f t="shared" si="24"/>
        <v>1</v>
      </c>
      <c r="R34" s="365">
        <f>$F$33</f>
        <v>0</v>
      </c>
    </row>
    <row r="35" spans="1:18" ht="15.75" hidden="1" customHeight="1" thickBot="1" x14ac:dyDescent="0.3">
      <c r="A35" s="366" t="s">
        <v>154</v>
      </c>
      <c r="B35" s="396">
        <v>1</v>
      </c>
      <c r="C35" s="367">
        <v>1</v>
      </c>
      <c r="D35" s="368">
        <f>D34</f>
        <v>0</v>
      </c>
      <c r="E35" s="367">
        <v>1</v>
      </c>
      <c r="F35" s="368">
        <f>$F$33</f>
        <v>0</v>
      </c>
      <c r="G35" s="367">
        <v>1</v>
      </c>
      <c r="H35" s="368">
        <f>$F$33</f>
        <v>0</v>
      </c>
      <c r="I35" s="364">
        <f t="shared" si="21"/>
        <v>3</v>
      </c>
      <c r="J35" s="365">
        <f t="shared" si="22"/>
        <v>0</v>
      </c>
      <c r="K35" s="367">
        <v>1</v>
      </c>
      <c r="L35" s="368">
        <f>$F$33</f>
        <v>0</v>
      </c>
      <c r="M35" s="367"/>
      <c r="N35" s="368">
        <f>$F$33</f>
        <v>0</v>
      </c>
      <c r="O35" s="367"/>
      <c r="P35" s="368">
        <f>$F$33</f>
        <v>0</v>
      </c>
      <c r="Q35" s="364">
        <f t="shared" si="24"/>
        <v>1</v>
      </c>
      <c r="R35" s="369">
        <f>$F$33</f>
        <v>0</v>
      </c>
    </row>
    <row r="36" spans="1:18" ht="15.75" hidden="1" customHeight="1" thickBot="1" x14ac:dyDescent="0.3">
      <c r="A36" s="733" t="s">
        <v>2</v>
      </c>
      <c r="B36" s="57">
        <f>SUM(B27:B35)</f>
        <v>10</v>
      </c>
      <c r="C36" s="317">
        <f>SUM(C27:C35)</f>
        <v>7</v>
      </c>
      <c r="D36" s="304">
        <f>((C36/$B$30))-1</f>
        <v>6</v>
      </c>
      <c r="E36" s="317">
        <f>SUM(E27:E35)</f>
        <v>7</v>
      </c>
      <c r="F36" s="304">
        <f>((E36/$B$30))-1</f>
        <v>6</v>
      </c>
      <c r="G36" s="317">
        <f>SUM(G27:G35)</f>
        <v>6</v>
      </c>
      <c r="H36" s="304">
        <f>((G36/$B$30))-1</f>
        <v>5</v>
      </c>
      <c r="I36" s="306">
        <f t="shared" si="21"/>
        <v>20</v>
      </c>
      <c r="J36" s="58">
        <f t="shared" si="22"/>
        <v>-0.33333333333333337</v>
      </c>
      <c r="K36" s="317">
        <f>SUM(K27:K35)</f>
        <v>5</v>
      </c>
      <c r="L36" s="304">
        <f>((K36/$B36))-1</f>
        <v>-0.5</v>
      </c>
      <c r="M36" s="317">
        <f>SUM(M27:M33)</f>
        <v>0</v>
      </c>
      <c r="N36" s="304">
        <f>((M36/$B$30))-1</f>
        <v>-1</v>
      </c>
      <c r="O36" s="317">
        <f>SUM(O27:O33)</f>
        <v>0</v>
      </c>
      <c r="P36" s="304">
        <f>((O36/$B$30))-1</f>
        <v>-1</v>
      </c>
      <c r="Q36" s="306">
        <f t="shared" si="24"/>
        <v>5</v>
      </c>
      <c r="R36" s="58">
        <f>((Q36/(3*$B36)))-1</f>
        <v>-0.83333333333333337</v>
      </c>
    </row>
    <row r="37" spans="1:18" hidden="1" x14ac:dyDescent="0.25"/>
  </sheetData>
  <mergeCells count="5">
    <mergeCell ref="A5:R5"/>
    <mergeCell ref="A15:R15"/>
    <mergeCell ref="A2:R2"/>
    <mergeCell ref="A3:R3"/>
    <mergeCell ref="A25:R25"/>
  </mergeCells>
  <pageMargins left="0.23622047244094491" right="0.23622047244094491" top="0.47244094488188981" bottom="0.74803149606299213" header="0.31496062992125984" footer="0.31496062992125984"/>
  <pageSetup paperSize="9" scale="74" orientation="landscape" r:id="rId1"/>
  <headerFooter>
    <oddFooter>&amp;L&amp;10Fonte: Sistema WEBSAASS / SMS&amp;R&amp;10pag.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R18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0" customWidth="1"/>
    <col min="2" max="2" width="9" style="392" bestFit="1" customWidth="1"/>
    <col min="3" max="3" width="9" bestFit="1" customWidth="1"/>
    <col min="4" max="4" width="10.140625" bestFit="1" customWidth="1"/>
    <col min="5" max="5" width="9" bestFit="1" customWidth="1"/>
    <col min="6" max="6" width="9.7109375" bestFit="1" customWidth="1"/>
    <col min="7" max="7" width="9" bestFit="1" customWidth="1"/>
    <col min="8" max="8" width="9.28515625" customWidth="1"/>
    <col min="9" max="9" width="10.7109375" customWidth="1"/>
    <col min="10" max="10" width="10.140625" bestFit="1" customWidth="1"/>
    <col min="11" max="11" width="9" bestFit="1" customWidth="1"/>
    <col min="12" max="12" width="9.85546875" bestFit="1" customWidth="1"/>
    <col min="13" max="16" width="9" bestFit="1" customWidth="1"/>
    <col min="17" max="17" width="11.140625" bestFit="1" customWidth="1"/>
    <col min="18" max="18" width="9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1" t="s">
        <v>345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" x14ac:dyDescent="0.25">
      <c r="A6" s="465" t="s">
        <v>8</v>
      </c>
      <c r="B6" s="466" t="s">
        <v>9</v>
      </c>
      <c r="C6" s="465" t="str">
        <f>'UBS Vila Dalva 1° SEM'!C6</f>
        <v>JAN</v>
      </c>
      <c r="D6" s="467" t="str">
        <f>'UBS Vila Dalva 1° SEM'!D6</f>
        <v>%</v>
      </c>
      <c r="E6" s="465" t="str">
        <f>'UBS Vila Dalva 1° SEM'!E6</f>
        <v>FEV</v>
      </c>
      <c r="F6" s="467" t="str">
        <f>'UBS Vila Dalva 1° SEM'!F6</f>
        <v>%</v>
      </c>
      <c r="G6" s="465" t="str">
        <f>'UBS Vila Dalva 1° SEM'!G6</f>
        <v>MAR</v>
      </c>
      <c r="H6" s="467" t="str">
        <f>'UBS Vila Dalva 1° SEM'!H6</f>
        <v>%</v>
      </c>
      <c r="I6" s="468" t="str">
        <f>'UBS Vila Dalva 1° SEM'!I6</f>
        <v>Trimestre</v>
      </c>
      <c r="J6" s="468" t="str">
        <f>'UBS Vila Dalva 1° SEM'!J6</f>
        <v>%</v>
      </c>
      <c r="K6" s="465" t="str">
        <f>'UBS Vila Dalva 1° SEM'!K6</f>
        <v>ABR</v>
      </c>
      <c r="L6" s="467" t="str">
        <f>'UBS Vila Dalva 1° SEM'!L6</f>
        <v>%</v>
      </c>
      <c r="M6" s="465" t="str">
        <f>'UBS Vila Dalva 1° SEM'!M6</f>
        <v>MAI</v>
      </c>
      <c r="N6" s="467" t="str">
        <f>'UBS Vila Dalva 1° SEM'!N6</f>
        <v>%</v>
      </c>
      <c r="O6" s="465" t="str">
        <f>'UBS Vila Dalva 1° SEM'!O6</f>
        <v>JUN</v>
      </c>
      <c r="P6" s="467" t="str">
        <f>'UBS Vila Dalva 1° SEM'!P6</f>
        <v>%</v>
      </c>
      <c r="Q6" s="468" t="str">
        <f>'UBS Vila Dalva 1° SEM'!Q6</f>
        <v>Trimestre</v>
      </c>
      <c r="R6" s="468" t="str">
        <f>'UBS Vila Dalva 1° SEM'!R6</f>
        <v>%</v>
      </c>
    </row>
    <row r="7" spans="1:18" x14ac:dyDescent="0.25">
      <c r="A7" s="310" t="s">
        <v>11</v>
      </c>
      <c r="B7" s="315">
        <v>3600</v>
      </c>
      <c r="C7" s="311">
        <v>1013</v>
      </c>
      <c r="D7" s="339">
        <f>((C7/$B7))-1</f>
        <v>-0.71861111111111109</v>
      </c>
      <c r="E7" s="311">
        <v>3412</v>
      </c>
      <c r="F7" s="339">
        <f>((E7/$B7))-1</f>
        <v>-5.222222222222217E-2</v>
      </c>
      <c r="G7" s="311">
        <v>4449</v>
      </c>
      <c r="H7" s="339">
        <f>((G7/$B7))-1</f>
        <v>0.23583333333333334</v>
      </c>
      <c r="I7" s="313">
        <f t="shared" ref="I7:I9" si="0">C7+E7+G7</f>
        <v>8874</v>
      </c>
      <c r="J7" s="340">
        <f>((I7/(3*$B7)))-1</f>
        <v>-0.17833333333333334</v>
      </c>
      <c r="K7" s="311">
        <v>3460</v>
      </c>
      <c r="L7" s="339">
        <f>((K7/$B7))-1</f>
        <v>-3.8888888888888862E-2</v>
      </c>
      <c r="M7" s="311">
        <v>4567</v>
      </c>
      <c r="N7" s="339">
        <f>((M7/$B7))-1</f>
        <v>0.26861111111111113</v>
      </c>
      <c r="O7" s="311">
        <v>4536</v>
      </c>
      <c r="P7" s="339">
        <f>((O7/$B7))-1</f>
        <v>0.26</v>
      </c>
      <c r="Q7" s="313">
        <f>K7+M7+O7</f>
        <v>12563</v>
      </c>
      <c r="R7" s="340">
        <f>((Q7/(3*$B7)))-1</f>
        <v>0.1632407407407408</v>
      </c>
    </row>
    <row r="8" spans="1:18" x14ac:dyDescent="0.25">
      <c r="A8" s="310" t="s">
        <v>142</v>
      </c>
      <c r="B8" s="315">
        <v>1248</v>
      </c>
      <c r="C8" s="311">
        <v>429</v>
      </c>
      <c r="D8" s="339">
        <f t="shared" ref="D8:D9" si="1">((C8/$B8))-1</f>
        <v>-0.65625</v>
      </c>
      <c r="E8" s="311">
        <v>612</v>
      </c>
      <c r="F8" s="339">
        <f t="shared" ref="F8:F9" si="2">((E8/$B8))-1</f>
        <v>-0.50961538461538458</v>
      </c>
      <c r="G8" s="311">
        <v>778</v>
      </c>
      <c r="H8" s="339">
        <f t="shared" ref="H8:H9" si="3">((G8/$B8))-1</f>
        <v>-0.3766025641025641</v>
      </c>
      <c r="I8" s="313">
        <f t="shared" si="0"/>
        <v>1819</v>
      </c>
      <c r="J8" s="340">
        <f t="shared" ref="J8:J9" si="4">((I8/(3*$B8)))-1</f>
        <v>-0.51415598290598297</v>
      </c>
      <c r="K8" s="311">
        <v>657</v>
      </c>
      <c r="L8" s="339">
        <f t="shared" ref="L8:L9" si="5">((K8/$B8))-1</f>
        <v>-0.47355769230769229</v>
      </c>
      <c r="M8" s="311">
        <v>896</v>
      </c>
      <c r="N8" s="339">
        <f t="shared" ref="N8:N9" si="6">((M8/$B8))-1</f>
        <v>-0.28205128205128205</v>
      </c>
      <c r="O8" s="311">
        <v>695</v>
      </c>
      <c r="P8" s="339">
        <f t="shared" ref="P8:P9" si="7">((O8/$B8))-1</f>
        <v>-0.44310897435897434</v>
      </c>
      <c r="Q8" s="313">
        <f t="shared" ref="Q8:Q9" si="8">K8+M8+O8</f>
        <v>2248</v>
      </c>
      <c r="R8" s="340">
        <f t="shared" ref="R8:R9" si="9">((Q8/(3*$B8)))-1</f>
        <v>-0.3995726495726496</v>
      </c>
    </row>
    <row r="9" spans="1:18" x14ac:dyDescent="0.25">
      <c r="A9" s="310" t="s">
        <v>12</v>
      </c>
      <c r="B9" s="315">
        <v>468</v>
      </c>
      <c r="C9" s="311">
        <v>134</v>
      </c>
      <c r="D9" s="339">
        <f t="shared" si="1"/>
        <v>-0.71367521367521369</v>
      </c>
      <c r="E9" s="311">
        <v>276</v>
      </c>
      <c r="F9" s="339">
        <f t="shared" si="2"/>
        <v>-0.41025641025641024</v>
      </c>
      <c r="G9" s="311">
        <v>562</v>
      </c>
      <c r="H9" s="339">
        <f t="shared" si="3"/>
        <v>0.20085470085470081</v>
      </c>
      <c r="I9" s="313">
        <f t="shared" si="0"/>
        <v>972</v>
      </c>
      <c r="J9" s="340">
        <f t="shared" si="4"/>
        <v>-0.30769230769230771</v>
      </c>
      <c r="K9" s="311">
        <v>459</v>
      </c>
      <c r="L9" s="339">
        <f t="shared" si="5"/>
        <v>-1.9230769230769273E-2</v>
      </c>
      <c r="M9" s="311">
        <v>554</v>
      </c>
      <c r="N9" s="339">
        <f t="shared" si="6"/>
        <v>0.18376068376068377</v>
      </c>
      <c r="O9" s="311">
        <v>385</v>
      </c>
      <c r="P9" s="339">
        <f t="shared" si="7"/>
        <v>-0.17735042735042739</v>
      </c>
      <c r="Q9" s="313">
        <f t="shared" si="8"/>
        <v>1398</v>
      </c>
      <c r="R9" s="340">
        <f t="shared" si="9"/>
        <v>-4.2735042735042583E-3</v>
      </c>
    </row>
    <row r="10" spans="1:18" x14ac:dyDescent="0.25">
      <c r="A10" s="470" t="s">
        <v>2</v>
      </c>
      <c r="B10" s="315">
        <f>SUM(B7:B9)</f>
        <v>5316</v>
      </c>
      <c r="C10" s="471">
        <f>SUM(C7:C9)</f>
        <v>1576</v>
      </c>
      <c r="D10" s="314">
        <f>((C10/$B10))-1</f>
        <v>-0.70353649360421366</v>
      </c>
      <c r="E10" s="471">
        <f>SUM(E7:E9)</f>
        <v>4300</v>
      </c>
      <c r="F10" s="314">
        <f>((E10/$B10))-1</f>
        <v>-0.19112114371708055</v>
      </c>
      <c r="G10" s="471">
        <f>SUM(G7:G9)</f>
        <v>5789</v>
      </c>
      <c r="H10" s="314">
        <f>((G10/$B10))-1</f>
        <v>8.8976674191121097E-2</v>
      </c>
      <c r="I10" s="472">
        <f>C10+E10+G10</f>
        <v>11665</v>
      </c>
      <c r="J10" s="318">
        <f>((I10/(3*$B10)))-1</f>
        <v>-0.268560321043391</v>
      </c>
      <c r="K10" s="471">
        <f>SUM(K7:K9)</f>
        <v>4576</v>
      </c>
      <c r="L10" s="314">
        <f>((K10/$B10))-1</f>
        <v>-0.13920240782543269</v>
      </c>
      <c r="M10" s="471">
        <f>SUM(M7:M9)</f>
        <v>6017</v>
      </c>
      <c r="N10" s="314">
        <f>((M10/$B10))-1</f>
        <v>0.13186606471030848</v>
      </c>
      <c r="O10" s="471">
        <f>SUM(O7:O9)</f>
        <v>5616</v>
      </c>
      <c r="P10" s="314">
        <f>((O10/$B10))-1</f>
        <v>5.6433408577878152E-2</v>
      </c>
      <c r="Q10" s="472">
        <f>K10+M10+O10</f>
        <v>16209</v>
      </c>
      <c r="R10" s="318">
        <f>((Q10/(3*$B10)))-1</f>
        <v>1.6365688487584684E-2</v>
      </c>
    </row>
    <row r="11" spans="1:18" hidden="1" x14ac:dyDescent="0.25"/>
    <row r="12" spans="1:18" hidden="1" x14ac:dyDescent="0.25"/>
    <row r="13" spans="1:18" ht="15.75" hidden="1" x14ac:dyDescent="0.25">
      <c r="A13" s="801" t="s">
        <v>346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</row>
    <row r="14" spans="1:18" ht="24" hidden="1" x14ac:dyDescent="0.25">
      <c r="A14" s="465" t="s">
        <v>8</v>
      </c>
      <c r="B14" s="466" t="s">
        <v>9</v>
      </c>
      <c r="C14" s="465" t="str">
        <f t="shared" ref="C14:R14" si="10">C6</f>
        <v>JAN</v>
      </c>
      <c r="D14" s="467" t="str">
        <f t="shared" si="10"/>
        <v>%</v>
      </c>
      <c r="E14" s="465" t="str">
        <f t="shared" si="10"/>
        <v>FEV</v>
      </c>
      <c r="F14" s="467" t="str">
        <f t="shared" si="10"/>
        <v>%</v>
      </c>
      <c r="G14" s="465" t="str">
        <f t="shared" si="10"/>
        <v>MAR</v>
      </c>
      <c r="H14" s="467" t="str">
        <f t="shared" si="10"/>
        <v>%</v>
      </c>
      <c r="I14" s="468" t="str">
        <f t="shared" si="10"/>
        <v>Trimestre</v>
      </c>
      <c r="J14" s="468" t="str">
        <f t="shared" si="10"/>
        <v>%</v>
      </c>
      <c r="K14" s="465" t="str">
        <f t="shared" si="10"/>
        <v>ABR</v>
      </c>
      <c r="L14" s="467" t="str">
        <f t="shared" si="10"/>
        <v>%</v>
      </c>
      <c r="M14" s="465" t="str">
        <f t="shared" si="10"/>
        <v>MAI</v>
      </c>
      <c r="N14" s="467" t="str">
        <f t="shared" si="10"/>
        <v>%</v>
      </c>
      <c r="O14" s="465" t="str">
        <f t="shared" si="10"/>
        <v>JUN</v>
      </c>
      <c r="P14" s="467" t="str">
        <f t="shared" si="10"/>
        <v>%</v>
      </c>
      <c r="Q14" s="468" t="str">
        <f t="shared" si="10"/>
        <v>Trimestre</v>
      </c>
      <c r="R14" s="468" t="str">
        <f t="shared" si="10"/>
        <v>%</v>
      </c>
    </row>
    <row r="15" spans="1:18" hidden="1" x14ac:dyDescent="0.25">
      <c r="A15" s="310" t="s">
        <v>148</v>
      </c>
      <c r="B15" s="315">
        <v>18</v>
      </c>
      <c r="C15" s="311">
        <v>16</v>
      </c>
      <c r="D15" s="339">
        <f>((C15/$B15))-1</f>
        <v>-0.11111111111111116</v>
      </c>
      <c r="E15" s="311">
        <v>18</v>
      </c>
      <c r="F15" s="339">
        <f>((E15/$B15))-1</f>
        <v>0</v>
      </c>
      <c r="G15" s="311">
        <v>18</v>
      </c>
      <c r="H15" s="339">
        <f>((G15/$B15))-1</f>
        <v>0</v>
      </c>
      <c r="I15" s="313">
        <f t="shared" ref="I15:I18" si="11">C15+E15+G15</f>
        <v>52</v>
      </c>
      <c r="J15" s="340">
        <f>((I15/(3*$B15)))-1</f>
        <v>-3.703703703703709E-2</v>
      </c>
      <c r="K15" s="311">
        <v>18</v>
      </c>
      <c r="L15" s="339">
        <f t="shared" ref="L15:L18" si="12">((K15/$B15))-1</f>
        <v>0</v>
      </c>
      <c r="M15" s="311">
        <v>18</v>
      </c>
      <c r="N15" s="339">
        <f>((M15/$B15))-1</f>
        <v>0</v>
      </c>
      <c r="O15" s="469">
        <v>18</v>
      </c>
      <c r="P15" s="339">
        <f>((O15/$B15))-1</f>
        <v>0</v>
      </c>
      <c r="Q15" s="313">
        <f>K15+M15+O15</f>
        <v>54</v>
      </c>
      <c r="R15" s="340">
        <f>((Q15/(3*$B15)))-1</f>
        <v>0</v>
      </c>
    </row>
    <row r="16" spans="1:18" hidden="1" x14ac:dyDescent="0.25">
      <c r="A16" s="310" t="s">
        <v>149</v>
      </c>
      <c r="B16" s="315">
        <v>3</v>
      </c>
      <c r="C16" s="311">
        <v>3</v>
      </c>
      <c r="D16" s="339">
        <f t="shared" ref="D16:D18" si="13">((C16/$B16))-1</f>
        <v>0</v>
      </c>
      <c r="E16" s="311">
        <v>3</v>
      </c>
      <c r="F16" s="339">
        <f t="shared" ref="F16:F17" si="14">((E16/$B16))-1</f>
        <v>0</v>
      </c>
      <c r="G16" s="311" t="s">
        <v>375</v>
      </c>
      <c r="H16" s="339" t="e">
        <f t="shared" ref="H16:H18" si="15">((G16/$B16))-1</f>
        <v>#VALUE!</v>
      </c>
      <c r="I16" s="313" t="e">
        <f t="shared" si="11"/>
        <v>#VALUE!</v>
      </c>
      <c r="J16" s="340" t="e">
        <f t="shared" ref="J16:J18" si="16">((I16/(3*$B16)))-1</f>
        <v>#VALUE!</v>
      </c>
      <c r="K16" s="311">
        <v>3</v>
      </c>
      <c r="L16" s="339">
        <f t="shared" si="12"/>
        <v>0</v>
      </c>
      <c r="M16" s="720">
        <v>3.5</v>
      </c>
      <c r="N16" s="339">
        <f t="shared" ref="N16:N17" si="17">((M16/$B16))-1</f>
        <v>0.16666666666666674</v>
      </c>
      <c r="O16" s="311">
        <v>3</v>
      </c>
      <c r="P16" s="339">
        <f>((O16/$B16))-1</f>
        <v>0</v>
      </c>
      <c r="Q16" s="313">
        <f t="shared" ref="Q16:Q18" si="18">K16+M16+O16</f>
        <v>9.5</v>
      </c>
      <c r="R16" s="340">
        <f t="shared" ref="R16:R18" si="19">((Q16/(3*$B16)))-1</f>
        <v>5.555555555555558E-2</v>
      </c>
    </row>
    <row r="17" spans="1:18" hidden="1" x14ac:dyDescent="0.25">
      <c r="A17" s="310" t="s">
        <v>10</v>
      </c>
      <c r="B17" s="315">
        <v>3</v>
      </c>
      <c r="C17" s="311">
        <v>4</v>
      </c>
      <c r="D17" s="339">
        <f t="shared" si="13"/>
        <v>0.33333333333333326</v>
      </c>
      <c r="E17" s="311">
        <v>3</v>
      </c>
      <c r="F17" s="339">
        <f t="shared" si="14"/>
        <v>0</v>
      </c>
      <c r="G17" s="311">
        <v>3</v>
      </c>
      <c r="H17" s="339">
        <f t="shared" si="15"/>
        <v>0</v>
      </c>
      <c r="I17" s="313">
        <f t="shared" si="11"/>
        <v>10</v>
      </c>
      <c r="J17" s="340">
        <f t="shared" si="16"/>
        <v>0.11111111111111116</v>
      </c>
      <c r="K17" s="311">
        <v>3</v>
      </c>
      <c r="L17" s="339">
        <f t="shared" si="12"/>
        <v>0</v>
      </c>
      <c r="M17" s="311">
        <v>3</v>
      </c>
      <c r="N17" s="339">
        <f t="shared" si="17"/>
        <v>0</v>
      </c>
      <c r="O17" s="311">
        <v>3</v>
      </c>
      <c r="P17" s="339">
        <f t="shared" ref="P17:P18" si="20">((O17/$B17))-1</f>
        <v>0</v>
      </c>
      <c r="Q17" s="313">
        <f t="shared" si="18"/>
        <v>9</v>
      </c>
      <c r="R17" s="340">
        <f t="shared" si="19"/>
        <v>0</v>
      </c>
    </row>
    <row r="18" spans="1:18" hidden="1" x14ac:dyDescent="0.25">
      <c r="A18" s="470" t="s">
        <v>2</v>
      </c>
      <c r="B18" s="315">
        <f>SUM(B15:B17)</f>
        <v>24</v>
      </c>
      <c r="C18" s="471">
        <f>SUM(C15:C17)</f>
        <v>23</v>
      </c>
      <c r="D18" s="314">
        <f t="shared" si="13"/>
        <v>-4.166666666666663E-2</v>
      </c>
      <c r="E18" s="471">
        <f>SUM(E15:E17)</f>
        <v>24</v>
      </c>
      <c r="F18" s="314">
        <f>((E18/$B18))-1</f>
        <v>0</v>
      </c>
      <c r="G18" s="471">
        <f>SUM(G15:G17)</f>
        <v>21</v>
      </c>
      <c r="H18" s="314">
        <f t="shared" si="15"/>
        <v>-0.125</v>
      </c>
      <c r="I18" s="472">
        <f t="shared" si="11"/>
        <v>68</v>
      </c>
      <c r="J18" s="318">
        <f t="shared" si="16"/>
        <v>-5.555555555555558E-2</v>
      </c>
      <c r="K18" s="471">
        <f>SUM(K15:K17)</f>
        <v>24</v>
      </c>
      <c r="L18" s="314">
        <f t="shared" si="12"/>
        <v>0</v>
      </c>
      <c r="M18" s="471">
        <f>SUM(M15:M17)</f>
        <v>24.5</v>
      </c>
      <c r="N18" s="314">
        <f>((M18/$B18))-1</f>
        <v>2.0833333333333259E-2</v>
      </c>
      <c r="O18" s="471">
        <f>SUM(O15:O17)</f>
        <v>24</v>
      </c>
      <c r="P18" s="314">
        <f t="shared" si="20"/>
        <v>0</v>
      </c>
      <c r="Q18" s="472">
        <f t="shared" si="18"/>
        <v>72.5</v>
      </c>
      <c r="R18" s="318">
        <f t="shared" si="19"/>
        <v>6.9444444444444198E-3</v>
      </c>
    </row>
  </sheetData>
  <mergeCells count="4">
    <mergeCell ref="A5:R5"/>
    <mergeCell ref="A13:R13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4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927C-5C40-4EB5-94A7-8BCC1532939F}">
  <sheetPr>
    <tabColor rgb="FF7030A0"/>
    <pageSetUpPr fitToPage="1"/>
  </sheetPr>
  <dimension ref="A2:R41"/>
  <sheetViews>
    <sheetView showGridLines="0" tabSelected="1" view="pageBreakPreview" zoomScaleNormal="100" zoomScaleSheetLayoutView="100" workbookViewId="0"/>
  </sheetViews>
  <sheetFormatPr defaultColWidth="8.85546875" defaultRowHeight="15" x14ac:dyDescent="0.25"/>
  <cols>
    <col min="1" max="1" width="30" customWidth="1"/>
    <col min="2" max="2" width="9" style="392" bestFit="1" customWidth="1"/>
    <col min="3" max="8" width="9" bestFit="1" customWidth="1"/>
    <col min="9" max="9" width="10.7109375" customWidth="1"/>
    <col min="10" max="13" width="9" bestFit="1" customWidth="1"/>
    <col min="14" max="14" width="11.140625" bestFit="1" customWidth="1"/>
    <col min="15" max="15" width="9" bestFit="1" customWidth="1"/>
    <col min="16" max="17" width="11.140625" bestFit="1" customWidth="1"/>
    <col min="18" max="18" width="10.140625" bestFit="1" customWidth="1"/>
  </cols>
  <sheetData>
    <row r="2" spans="1:18" ht="18" x14ac:dyDescent="0.35">
      <c r="A2" s="800" t="s">
        <v>337</v>
      </c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" x14ac:dyDescent="0.35">
      <c r="A3" s="800" t="s">
        <v>133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</row>
    <row r="5" spans="1:18" ht="15.75" x14ac:dyDescent="0.25">
      <c r="A5" s="803" t="s">
        <v>345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</row>
    <row r="6" spans="1:18" ht="24" x14ac:dyDescent="0.25">
      <c r="A6" s="465" t="s">
        <v>8</v>
      </c>
      <c r="B6" s="466" t="s">
        <v>9</v>
      </c>
      <c r="C6" s="465" t="str">
        <f>'UBS Vila Dalva 2º SEM'!C6</f>
        <v>JUL</v>
      </c>
      <c r="D6" s="467" t="str">
        <f>'UBS Vila Dalva 2º SEM'!D6</f>
        <v>%</v>
      </c>
      <c r="E6" s="465" t="str">
        <f>'UBS Vila Dalva 2º SEM'!E6</f>
        <v>AGO</v>
      </c>
      <c r="F6" s="467" t="str">
        <f>'UBS Vila Dalva 2º SEM'!F6</f>
        <v>%</v>
      </c>
      <c r="G6" s="465" t="str">
        <f>'UBS Vila Dalva 2º SEM'!G6</f>
        <v>SET</v>
      </c>
      <c r="H6" s="467" t="str">
        <f>'UBS Vila Dalva 2º SEM'!H6</f>
        <v>%</v>
      </c>
      <c r="I6" s="468" t="str">
        <f>'UBS Vila Dalva 2º SEM'!I6</f>
        <v>Trimestre</v>
      </c>
      <c r="J6" s="468" t="str">
        <f>'UBS Vila Dalva 2º SEM'!J6</f>
        <v>%</v>
      </c>
      <c r="K6" s="465" t="str">
        <f>'UBS Vila Dalva 2º SEM'!K6</f>
        <v>OUT</v>
      </c>
      <c r="L6" s="467" t="str">
        <f>'UBS Vila Dalva 2º SEM'!L6</f>
        <v>%</v>
      </c>
      <c r="M6" s="465" t="str">
        <f>'UBS Vila Dalva 2º SEM'!M6</f>
        <v>NOV</v>
      </c>
      <c r="N6" s="467" t="str">
        <f>'UBS Vila Dalva 2º SEM'!N6</f>
        <v>%</v>
      </c>
      <c r="O6" s="465" t="str">
        <f>'UBS Vila Dalva 2º SEM'!O6</f>
        <v>DEZ</v>
      </c>
      <c r="P6" s="467" t="str">
        <f>'UBS Vila Dalva 2º SEM'!P6</f>
        <v>%</v>
      </c>
      <c r="Q6" s="468" t="str">
        <f>'UBS Vila Dalva 2º SEM'!Q6</f>
        <v>Trimestre</v>
      </c>
      <c r="R6" s="468" t="str">
        <f>'UBS Vila Dalva 2º SEM'!R6</f>
        <v>%</v>
      </c>
    </row>
    <row r="7" spans="1:18" x14ac:dyDescent="0.25">
      <c r="A7" s="310" t="s">
        <v>11</v>
      </c>
      <c r="B7" s="315">
        <v>3600</v>
      </c>
      <c r="C7" s="311">
        <v>4508</v>
      </c>
      <c r="D7" s="339">
        <f>((C7/$B7))-1</f>
        <v>0.25222222222222213</v>
      </c>
      <c r="E7" s="311">
        <v>3416</v>
      </c>
      <c r="F7" s="339">
        <f>((E7/$B7))-1</f>
        <v>-5.1111111111111107E-2</v>
      </c>
      <c r="G7" s="311">
        <v>3525</v>
      </c>
      <c r="H7" s="339">
        <f>((G7/$B7))-1</f>
        <v>-2.083333333333337E-2</v>
      </c>
      <c r="I7" s="313">
        <f>C7+E7+G7</f>
        <v>11449</v>
      </c>
      <c r="J7" s="340">
        <f>((I7/(3*$B7)))-1</f>
        <v>6.0092592592592586E-2</v>
      </c>
      <c r="K7" s="311">
        <v>3571</v>
      </c>
      <c r="L7" s="339">
        <f>((K7/$B7))-1</f>
        <v>-8.0555555555555935E-3</v>
      </c>
      <c r="M7" s="311">
        <v>2639</v>
      </c>
      <c r="N7" s="339">
        <f>((M7/$B7))-1</f>
        <v>-0.26694444444444443</v>
      </c>
      <c r="O7" s="311">
        <v>4121</v>
      </c>
      <c r="P7" s="339">
        <f>((O7/$B7))-1</f>
        <v>0.1447222222222222</v>
      </c>
      <c r="Q7" s="313">
        <f>K7+M7+O7</f>
        <v>10331</v>
      </c>
      <c r="R7" s="340">
        <f>((Q7/(3*$B7)))-1</f>
        <v>-4.3425925925925979E-2</v>
      </c>
    </row>
    <row r="8" spans="1:18" x14ac:dyDescent="0.25">
      <c r="A8" s="310" t="s">
        <v>142</v>
      </c>
      <c r="B8" s="315">
        <v>1248</v>
      </c>
      <c r="C8" s="311">
        <v>913</v>
      </c>
      <c r="D8" s="339">
        <f>((C8/$B8))-1</f>
        <v>-0.26842948717948723</v>
      </c>
      <c r="E8" s="311">
        <v>1048</v>
      </c>
      <c r="F8" s="339">
        <f>((E8/$B8))-1</f>
        <v>-0.16025641025641024</v>
      </c>
      <c r="G8" s="311">
        <v>886</v>
      </c>
      <c r="H8" s="339">
        <f>((G8/$B8))-1</f>
        <v>-0.29006410256410253</v>
      </c>
      <c r="I8" s="313">
        <f>C8+E8+G8</f>
        <v>2847</v>
      </c>
      <c r="J8" s="340">
        <f>((I8/(3*$B8)))-1</f>
        <v>-0.23958333333333337</v>
      </c>
      <c r="K8" s="311">
        <v>1014</v>
      </c>
      <c r="L8" s="339">
        <f>((K8/$B8))-1</f>
        <v>-0.1875</v>
      </c>
      <c r="M8" s="311">
        <v>906</v>
      </c>
      <c r="N8" s="339">
        <f>((M8/$B8))-1</f>
        <v>-0.27403846153846156</v>
      </c>
      <c r="O8" s="311">
        <v>939</v>
      </c>
      <c r="P8" s="339">
        <f>((O8/$B8))-1</f>
        <v>-0.24759615384615385</v>
      </c>
      <c r="Q8" s="313">
        <f>K8+M8+O8</f>
        <v>2859</v>
      </c>
      <c r="R8" s="340">
        <f>((Q8/(3*$B8)))-1</f>
        <v>-0.23637820512820518</v>
      </c>
    </row>
    <row r="9" spans="1:18" x14ac:dyDescent="0.25">
      <c r="A9" s="310" t="s">
        <v>12</v>
      </c>
      <c r="B9" s="315">
        <v>468</v>
      </c>
      <c r="C9" s="311">
        <v>483</v>
      </c>
      <c r="D9" s="339">
        <f>((C9/$B9))-1</f>
        <v>3.2051282051282159E-2</v>
      </c>
      <c r="E9" s="311">
        <v>388</v>
      </c>
      <c r="F9" s="339">
        <f>((E9/$B9))-1</f>
        <v>-0.17094017094017089</v>
      </c>
      <c r="G9" s="311">
        <v>491</v>
      </c>
      <c r="H9" s="339">
        <f>((G9/$B9))-1</f>
        <v>4.9145299145299193E-2</v>
      </c>
      <c r="I9" s="313">
        <f>C9+E9+G9</f>
        <v>1362</v>
      </c>
      <c r="J9" s="340">
        <f>((I9/(3*$B9)))-1</f>
        <v>-2.9914529914529919E-2</v>
      </c>
      <c r="K9" s="311">
        <v>512</v>
      </c>
      <c r="L9" s="339">
        <f>((K9/$B9))-1</f>
        <v>9.4017094017094127E-2</v>
      </c>
      <c r="M9" s="311">
        <v>409</v>
      </c>
      <c r="N9" s="339">
        <f>((M9/$B9))-1</f>
        <v>-0.12606837606837606</v>
      </c>
      <c r="O9" s="311">
        <v>567</v>
      </c>
      <c r="P9" s="339">
        <f>((O9/$B9))-1</f>
        <v>0.21153846153846145</v>
      </c>
      <c r="Q9" s="313">
        <f>K9+M9+O9</f>
        <v>1488</v>
      </c>
      <c r="R9" s="340">
        <f>((Q9/(3*$B9)))-1</f>
        <v>5.9829059829059839E-2</v>
      </c>
    </row>
    <row r="10" spans="1:18" x14ac:dyDescent="0.25">
      <c r="A10" s="470" t="s">
        <v>2</v>
      </c>
      <c r="B10" s="315">
        <f>SUM(B7:B9)</f>
        <v>5316</v>
      </c>
      <c r="C10" s="471">
        <f>SUM(C7:C9)</f>
        <v>5904</v>
      </c>
      <c r="D10" s="314">
        <f>((C10/$B10))-1</f>
        <v>0.11060948081264099</v>
      </c>
      <c r="E10" s="471">
        <f>SUM(E7:E9)</f>
        <v>4852</v>
      </c>
      <c r="F10" s="314">
        <f>((E10/$B10))-1</f>
        <v>-8.7283671933784834E-2</v>
      </c>
      <c r="G10" s="471">
        <f>SUM(G7:G9)</f>
        <v>4902</v>
      </c>
      <c r="H10" s="314">
        <f>((G10/$B10))-1</f>
        <v>-7.7878103837471735E-2</v>
      </c>
      <c r="I10" s="472">
        <f>C10+E10+G10</f>
        <v>15658</v>
      </c>
      <c r="J10" s="318">
        <f>((I10/(3*$B10)))-1</f>
        <v>-1.8184098319538489E-2</v>
      </c>
      <c r="K10" s="471">
        <f>SUM(K7:K9)</f>
        <v>5097</v>
      </c>
      <c r="L10" s="314">
        <f>((K10/$B10))-1</f>
        <v>-4.1196388261851014E-2</v>
      </c>
      <c r="M10" s="471">
        <f>SUM(M7:M9)</f>
        <v>3954</v>
      </c>
      <c r="N10" s="314">
        <f>((M10/$B10))-1</f>
        <v>-0.25620767494356655</v>
      </c>
      <c r="O10" s="471">
        <f>SUM(O7:O9)</f>
        <v>5627</v>
      </c>
      <c r="P10" s="314">
        <f>((O10/$B10))-1</f>
        <v>5.8502633559067041E-2</v>
      </c>
      <c r="Q10" s="472">
        <f>K10+M10+O10</f>
        <v>14678</v>
      </c>
      <c r="R10" s="318">
        <f>((Q10/(3*$B10)))-1</f>
        <v>-7.9633809882116879E-2</v>
      </c>
    </row>
    <row r="12" spans="1:18" hidden="1" x14ac:dyDescent="0.25"/>
    <row r="13" spans="1:18" ht="15.75" hidden="1" x14ac:dyDescent="0.25">
      <c r="A13" s="803" t="s">
        <v>346</v>
      </c>
      <c r="B13" s="802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</row>
    <row r="14" spans="1:18" ht="24" hidden="1" customHeight="1" x14ac:dyDescent="0.25">
      <c r="A14" s="465" t="s">
        <v>8</v>
      </c>
      <c r="B14" s="466" t="s">
        <v>9</v>
      </c>
      <c r="C14" s="465" t="str">
        <f t="shared" ref="C14:R14" si="0">C6</f>
        <v>JUL</v>
      </c>
      <c r="D14" s="467" t="str">
        <f t="shared" si="0"/>
        <v>%</v>
      </c>
      <c r="E14" s="465" t="str">
        <f t="shared" si="0"/>
        <v>AGO</v>
      </c>
      <c r="F14" s="467" t="str">
        <f t="shared" si="0"/>
        <v>%</v>
      </c>
      <c r="G14" s="465" t="str">
        <f t="shared" si="0"/>
        <v>SET</v>
      </c>
      <c r="H14" s="467" t="str">
        <f t="shared" si="0"/>
        <v>%</v>
      </c>
      <c r="I14" s="468" t="str">
        <f t="shared" si="0"/>
        <v>Trimestre</v>
      </c>
      <c r="J14" s="468" t="str">
        <f t="shared" si="0"/>
        <v>%</v>
      </c>
      <c r="K14" s="465" t="str">
        <f t="shared" si="0"/>
        <v>OUT</v>
      </c>
      <c r="L14" s="467" t="str">
        <f t="shared" si="0"/>
        <v>%</v>
      </c>
      <c r="M14" s="465" t="str">
        <f t="shared" si="0"/>
        <v>NOV</v>
      </c>
      <c r="N14" s="467" t="str">
        <f t="shared" si="0"/>
        <v>%</v>
      </c>
      <c r="O14" s="465" t="str">
        <f t="shared" si="0"/>
        <v>DEZ</v>
      </c>
      <c r="P14" s="467" t="str">
        <f t="shared" si="0"/>
        <v>%</v>
      </c>
      <c r="Q14" s="468" t="str">
        <f t="shared" si="0"/>
        <v>Trimestre</v>
      </c>
      <c r="R14" s="468" t="str">
        <f t="shared" si="0"/>
        <v>%</v>
      </c>
    </row>
    <row r="15" spans="1:18" ht="15" hidden="1" customHeight="1" x14ac:dyDescent="0.25">
      <c r="A15" s="310" t="s">
        <v>148</v>
      </c>
      <c r="B15" s="315">
        <v>18</v>
      </c>
      <c r="C15" s="311">
        <v>18</v>
      </c>
      <c r="D15" s="339">
        <f>((C15/$B15))-1</f>
        <v>0</v>
      </c>
      <c r="E15" s="311">
        <v>18</v>
      </c>
      <c r="F15" s="339">
        <f>((E15/$B15))-1</f>
        <v>0</v>
      </c>
      <c r="G15" s="311">
        <v>18</v>
      </c>
      <c r="H15" s="339">
        <f>((G15/$B15))-1</f>
        <v>0</v>
      </c>
      <c r="I15" s="313">
        <f>C15+E15+G15</f>
        <v>54</v>
      </c>
      <c r="J15" s="340">
        <f>((I15/(3*$B15)))-1</f>
        <v>0</v>
      </c>
      <c r="K15" s="311">
        <v>18</v>
      </c>
      <c r="L15" s="339">
        <f>((K15/$B15))-1</f>
        <v>0</v>
      </c>
      <c r="M15" s="311"/>
      <c r="N15" s="339">
        <f>((M15/$B15))-1</f>
        <v>-1</v>
      </c>
      <c r="O15" s="469"/>
      <c r="P15" s="339">
        <f>((O15/$B15))-1</f>
        <v>-1</v>
      </c>
      <c r="Q15" s="313">
        <f>K15+M15+O15</f>
        <v>18</v>
      </c>
      <c r="R15" s="340">
        <f>((Q15/(3*$B15)))-1</f>
        <v>-0.66666666666666674</v>
      </c>
    </row>
    <row r="16" spans="1:18" ht="15" hidden="1" customHeight="1" x14ac:dyDescent="0.25">
      <c r="A16" s="310" t="s">
        <v>149</v>
      </c>
      <c r="B16" s="315">
        <v>3</v>
      </c>
      <c r="C16" s="311">
        <v>3</v>
      </c>
      <c r="D16" s="339">
        <f>((C16/$B16))-1</f>
        <v>0</v>
      </c>
      <c r="E16" s="311">
        <v>3</v>
      </c>
      <c r="F16" s="339">
        <f>((E16/$B16))-1</f>
        <v>0</v>
      </c>
      <c r="G16" s="311">
        <v>3</v>
      </c>
      <c r="H16" s="339">
        <f>((G16/$B16))-1</f>
        <v>0</v>
      </c>
      <c r="I16" s="313">
        <f>C16+E16+G16</f>
        <v>9</v>
      </c>
      <c r="J16" s="340">
        <f>((I16/(3*$B16)))-1</f>
        <v>0</v>
      </c>
      <c r="K16" s="311">
        <v>3</v>
      </c>
      <c r="L16" s="339">
        <f>((K16/$B16))-1</f>
        <v>0</v>
      </c>
      <c r="M16" s="311"/>
      <c r="N16" s="339">
        <f>((M16/$B16))-1</f>
        <v>-1</v>
      </c>
      <c r="O16" s="311"/>
      <c r="P16" s="339">
        <f>((O16/$B16))-1</f>
        <v>-1</v>
      </c>
      <c r="Q16" s="313">
        <f>K16+M16+O16</f>
        <v>3</v>
      </c>
      <c r="R16" s="340">
        <f>((Q16/(3*$B16)))-1</f>
        <v>-0.66666666666666674</v>
      </c>
    </row>
    <row r="17" spans="1:18" ht="15" hidden="1" customHeight="1" x14ac:dyDescent="0.25">
      <c r="A17" s="310" t="s">
        <v>10</v>
      </c>
      <c r="B17" s="315">
        <v>3</v>
      </c>
      <c r="C17" s="311">
        <v>3</v>
      </c>
      <c r="D17" s="339">
        <f>((C17/$B17))-1</f>
        <v>0</v>
      </c>
      <c r="E17" s="311">
        <v>3</v>
      </c>
      <c r="F17" s="339">
        <f>((E17/$B17))-1</f>
        <v>0</v>
      </c>
      <c r="G17" s="311">
        <v>3</v>
      </c>
      <c r="H17" s="339">
        <f>((G17/$B17))-1</f>
        <v>0</v>
      </c>
      <c r="I17" s="313">
        <f>C17+E17+G17</f>
        <v>9</v>
      </c>
      <c r="J17" s="340">
        <f>((I17/(3*$B17)))-1</f>
        <v>0</v>
      </c>
      <c r="K17" s="311">
        <v>3</v>
      </c>
      <c r="L17" s="339">
        <f>((K17/$B17))-1</f>
        <v>0</v>
      </c>
      <c r="M17" s="311"/>
      <c r="N17" s="339">
        <f>((M17/$B17))-1</f>
        <v>-1</v>
      </c>
      <c r="O17" s="311"/>
      <c r="P17" s="339">
        <f>((O17/$B17))-1</f>
        <v>-1</v>
      </c>
      <c r="Q17" s="313">
        <f>K17+M17+O17</f>
        <v>3</v>
      </c>
      <c r="R17" s="340">
        <f>((Q17/(3*$B17)))-1</f>
        <v>-0.66666666666666674</v>
      </c>
    </row>
    <row r="18" spans="1:18" ht="15" hidden="1" customHeight="1" x14ac:dyDescent="0.25">
      <c r="A18" s="470" t="s">
        <v>2</v>
      </c>
      <c r="B18" s="315">
        <f>SUM(B15:B17)</f>
        <v>24</v>
      </c>
      <c r="C18" s="471">
        <f>SUM(C15:C17)</f>
        <v>24</v>
      </c>
      <c r="D18" s="314">
        <f>((C18/$B18))-1</f>
        <v>0</v>
      </c>
      <c r="E18" s="471">
        <f>SUM(E15:E17)</f>
        <v>24</v>
      </c>
      <c r="F18" s="314">
        <f>((E18/$B18))-1</f>
        <v>0</v>
      </c>
      <c r="G18" s="471">
        <f>SUM(G15:G17)</f>
        <v>24</v>
      </c>
      <c r="H18" s="314">
        <f>((G18/$B18))-1</f>
        <v>0</v>
      </c>
      <c r="I18" s="472">
        <f>C18+E18+G18</f>
        <v>72</v>
      </c>
      <c r="J18" s="318">
        <f>((I18/(3*$B18)))-1</f>
        <v>0</v>
      </c>
      <c r="K18" s="471">
        <f>SUM(K15:K17)</f>
        <v>24</v>
      </c>
      <c r="L18" s="314">
        <f>((K18/$B18))-1</f>
        <v>0</v>
      </c>
      <c r="M18" s="471">
        <f>SUM(M15:M17)</f>
        <v>0</v>
      </c>
      <c r="N18" s="314">
        <f>((M18/$B18))-1</f>
        <v>-1</v>
      </c>
      <c r="O18" s="471">
        <f>SUM(O15:O17)</f>
        <v>0</v>
      </c>
      <c r="P18" s="314">
        <f>((O18/$B18))-1</f>
        <v>-1</v>
      </c>
      <c r="Q18" s="472">
        <f>K18+M18+O18</f>
        <v>24</v>
      </c>
      <c r="R18" s="318">
        <f>((Q18/(3*$B18)))-1</f>
        <v>-0.66666666666666674</v>
      </c>
    </row>
    <row r="19" spans="1:18" ht="15" hidden="1" customHeight="1" x14ac:dyDescent="0.25"/>
    <row r="20" spans="1:18" ht="15" hidden="1" customHeight="1" x14ac:dyDescent="0.25"/>
    <row r="21" spans="1:18" ht="15" hidden="1" customHeight="1" x14ac:dyDescent="0.25"/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mergeCells count="4">
    <mergeCell ref="A5:R5"/>
    <mergeCell ref="A13:R13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4" orientation="landscape" r:id="rId1"/>
  <headerFooter>
    <oddFooter>&amp;L&amp;10Fonte: Sistema WEBSAASS / SMS&amp;R&amp;10pag.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31</vt:i4>
      </vt:variant>
    </vt:vector>
  </HeadingPairs>
  <TitlesOfParts>
    <vt:vector size="31" baseType="lpstr">
      <vt:lpstr>Qualidade</vt:lpstr>
      <vt:lpstr>UBS Vila Dalva 1° SEM</vt:lpstr>
      <vt:lpstr>UBS Vila Dalva 2º SEM</vt:lpstr>
      <vt:lpstr>UBS Jardim Boa Vista 1° SEM</vt:lpstr>
      <vt:lpstr>UBS Jardim Boa Vista 2º SEM</vt:lpstr>
      <vt:lpstr>UBS e NASF Jd D Abril 1° SEM</vt:lpstr>
      <vt:lpstr>UBS e NASF Jd D´Abril 2º SEM</vt:lpstr>
      <vt:lpstr>UBS Jd Jaqueline 1° SEM</vt:lpstr>
      <vt:lpstr>UBS Jardim Jaqueline 2º SEM</vt:lpstr>
      <vt:lpstr>UBS E NASF Malta Cardoso 1° SEM</vt:lpstr>
      <vt:lpstr>UBS E NASF Malta Cardoso 2º SEM</vt:lpstr>
      <vt:lpstr>UBS Real Parque 1° SEM</vt:lpstr>
      <vt:lpstr>UBS Real Parque 2º SEM</vt:lpstr>
      <vt:lpstr>UBS Sao Remo 1° SEM</vt:lpstr>
      <vt:lpstr>UBS Sao Remo 2º SEM</vt:lpstr>
      <vt:lpstr>AMA e UBS Vila Sonia 1° SEM</vt:lpstr>
      <vt:lpstr>AMA e UBS Vila Sonia 2º SEM</vt:lpstr>
      <vt:lpstr>AMA_ UBS e NASF Paulo VI 1° SEM</vt:lpstr>
      <vt:lpstr>AMA_ UBS e NASF Paulo VI 2º SEM</vt:lpstr>
      <vt:lpstr> AMA e UBS Sao Jorge 1° SEM</vt:lpstr>
      <vt:lpstr> AMA e UBS Sao Jorge 2º SEM</vt:lpstr>
      <vt:lpstr>PS BAND 1° SEM</vt:lpstr>
      <vt:lpstr>PS BAND 2º SEM</vt:lpstr>
      <vt:lpstr>PAI UBS Butantã 1° SEM</vt:lpstr>
      <vt:lpstr>PAI UBS Butantã 2º SEM</vt:lpstr>
      <vt:lpstr>HORA CERTA 1° SEM</vt:lpstr>
      <vt:lpstr>HORA CERTA 2º SEM</vt:lpstr>
      <vt:lpstr>Produção Geral</vt:lpstr>
      <vt:lpstr>Consolidado Profissionais</vt:lpstr>
      <vt:lpstr>Consolidado Consulta</vt:lpstr>
      <vt:lpstr>valor desconto qualidade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2019-05-15T13:27:56Z</cp:lastPrinted>
  <dcterms:created xsi:type="dcterms:W3CDTF">2015-09-23T12:00:25Z</dcterms:created>
  <dcterms:modified xsi:type="dcterms:W3CDTF">2019-05-15T13:27:59Z</dcterms:modified>
</cp:coreProperties>
</file>